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dibacat.sharepoint.com/sites/msteams_729e94/Documentos compartidos/Comunitats energetiques/05_Recursos/Caixa d'eines/CEM Sense ens jurídic/Model_PreuPublic/"/>
    </mc:Choice>
  </mc:AlternateContent>
  <xr:revisionPtr revIDLastSave="1558" documentId="8_{ACD88A36-117E-4C42-BF78-46D121D9170D}" xr6:coauthVersionLast="47" xr6:coauthVersionMax="47" xr10:uidLastSave="{54831ADD-0619-4DCB-B043-A86CC3E197AA}"/>
  <bookViews>
    <workbookView minimized="1" xWindow="29310" yWindow="3135" windowWidth="9600" windowHeight="6000" firstSheet="1" activeTab="4" xr2:uid="{0BFB9360-B2B1-4EF9-8D09-08CE399398C7}"/>
  </bookViews>
  <sheets>
    <sheet name="Portada" sheetId="1" r:id="rId1"/>
    <sheet name="Introducció" sheetId="3" r:id="rId2"/>
    <sheet name="1. Dades instal·lació" sheetId="2" r:id="rId3"/>
    <sheet name="2. Dades econòmiques" sheetId="5" r:id="rId4"/>
    <sheet name="3. Resultats Escenaris" sheetId="6" r:id="rId5"/>
    <sheet name="4. Escull escenari" sheetId="10" r:id="rId6"/>
    <sheet name="Taula memòria" sheetId="7" state="hidden" r:id="rId7"/>
    <sheet name="5. Memòria" sheetId="8" r:id="rId8"/>
    <sheet name="altrenatives vulnerables" sheetId="9" state="hidden" r:id="rId9"/>
    <sheet name="Full4" sheetId="4" state="hidden" r:id="rId10"/>
  </sheets>
  <definedNames>
    <definedName name="_xlnm.Print_Area" localSheetId="7">'5. Memòria'!$B$1:$AO$47</definedName>
    <definedName name="codiine">Full4!$A$1:$C$312</definedName>
    <definedName name="esc">#REF!</definedName>
    <definedName name="escenari">Full4!$I$6:$I$8</definedName>
    <definedName name="gestio">Full4!$I$11:$I$12</definedName>
    <definedName name="gestiot">Full4!$I$11:$J$12</definedName>
    <definedName name="muni">#REF!</definedName>
    <definedName name="municipi">Full4!$A$2:$A$312</definedName>
    <definedName name="pvgis">#REF!</definedName>
    <definedName name="tramit">Full4!$I$2:$I$3</definedName>
    <definedName name="tramita">Full4!$I$2:$J$3</definedName>
    <definedName name="tramitaa">Full4!$I$2:$K$3</definedName>
    <definedName name="tramitat">Full4!$J$2:$K$3</definedName>
    <definedName name="tramitt">Full4!$J$2:$J$3</definedName>
    <definedName name="ttram">#REF!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9" l="1"/>
  <c r="C16" i="9"/>
  <c r="I4" i="6"/>
  <c r="J4" i="6"/>
  <c r="H4" i="6"/>
  <c r="B1" i="7"/>
  <c r="B23" i="7" s="1"/>
  <c r="F7" i="10"/>
  <c r="E7" i="10"/>
  <c r="F6" i="10"/>
  <c r="E6" i="10"/>
  <c r="D6" i="10"/>
  <c r="F5" i="10"/>
  <c r="E5" i="10"/>
  <c r="D5" i="10"/>
  <c r="F4" i="10"/>
  <c r="E4" i="10"/>
  <c r="D4" i="10"/>
  <c r="F3" i="10"/>
  <c r="E3" i="10"/>
  <c r="D3" i="10"/>
  <c r="I16" i="6"/>
  <c r="I20" i="6" s="1"/>
  <c r="J16" i="6"/>
  <c r="J20" i="6" s="1"/>
  <c r="H16" i="6"/>
  <c r="H20" i="6" s="1"/>
  <c r="G21" i="6"/>
  <c r="G20" i="6"/>
  <c r="G19" i="6"/>
  <c r="C24" i="7"/>
  <c r="I14" i="6"/>
  <c r="J14" i="6"/>
  <c r="H14" i="6"/>
  <c r="I15" i="6"/>
  <c r="J15" i="6"/>
  <c r="H15" i="6"/>
  <c r="A2" i="9"/>
  <c r="AF28" i="8"/>
  <c r="AF22" i="8"/>
  <c r="C18" i="7"/>
  <c r="C14" i="7"/>
  <c r="C13" i="6"/>
  <c r="D13" i="6"/>
  <c r="B13" i="6"/>
  <c r="C17" i="6"/>
  <c r="D17" i="6"/>
  <c r="B17" i="6"/>
  <c r="AE27" i="8"/>
  <c r="AE26" i="8"/>
  <c r="AE25" i="8"/>
  <c r="AE19" i="8"/>
  <c r="C5" i="5"/>
  <c r="B27" i="5"/>
  <c r="B17" i="7"/>
  <c r="B13" i="7"/>
  <c r="C10" i="7"/>
  <c r="M6" i="5"/>
  <c r="N5" i="5"/>
  <c r="M5" i="5"/>
  <c r="L5" i="5"/>
  <c r="N4" i="5"/>
  <c r="M4" i="5"/>
  <c r="L4" i="5"/>
  <c r="N3" i="5"/>
  <c r="M3" i="5"/>
  <c r="L3" i="5"/>
  <c r="M2" i="5"/>
  <c r="N2" i="5"/>
  <c r="L2" i="5"/>
  <c r="D31" i="5"/>
  <c r="D30" i="5"/>
  <c r="B7" i="6"/>
  <c r="C7" i="6" s="1"/>
  <c r="C6" i="6"/>
  <c r="D5" i="6"/>
  <c r="D8" i="6" s="1"/>
  <c r="C5" i="6"/>
  <c r="C8" i="6" s="1"/>
  <c r="B5" i="6"/>
  <c r="B23" i="6" s="1"/>
  <c r="B24" i="6" s="1"/>
  <c r="D4" i="6"/>
  <c r="C4" i="6"/>
  <c r="B4" i="6"/>
  <c r="D3" i="6"/>
  <c r="C3" i="6"/>
  <c r="B3" i="6"/>
  <c r="C2" i="6"/>
  <c r="D2" i="6"/>
  <c r="B2" i="6"/>
  <c r="B37" i="5"/>
  <c r="A1" i="9" l="1"/>
  <c r="C1" i="9" s="1"/>
  <c r="AG15" i="8" s="1"/>
  <c r="H7" i="6"/>
  <c r="J7" i="6"/>
  <c r="I17" i="6"/>
  <c r="I21" i="6" s="1"/>
  <c r="H17" i="6"/>
  <c r="H21" i="6" s="1"/>
  <c r="J17" i="6"/>
  <c r="J21" i="6" s="1"/>
  <c r="D1" i="7"/>
  <c r="A27" i="7" s="1"/>
  <c r="AG3" i="8" s="1"/>
  <c r="J19" i="6"/>
  <c r="I19" i="6"/>
  <c r="H19" i="6"/>
  <c r="I7" i="6"/>
  <c r="H8" i="6"/>
  <c r="D9" i="6"/>
  <c r="D7" i="6"/>
  <c r="C9" i="6"/>
  <c r="B9" i="6"/>
  <c r="B22" i="6"/>
  <c r="D22" i="6"/>
  <c r="C22" i="6"/>
  <c r="B8" i="6"/>
  <c r="D23" i="6"/>
  <c r="J8" i="6" s="1"/>
  <c r="C23" i="6"/>
  <c r="I8" i="6" s="1"/>
  <c r="D37" i="5"/>
  <c r="C16" i="6" s="1"/>
  <c r="C4" i="7" l="1"/>
  <c r="B21" i="7"/>
  <c r="AG4" i="8" s="1"/>
  <c r="C14" i="9"/>
  <c r="H9" i="6"/>
  <c r="C15" i="9" s="1"/>
  <c r="C5" i="7"/>
  <c r="AF5" i="8" s="1"/>
  <c r="I9" i="6"/>
  <c r="J9" i="6"/>
  <c r="C24" i="6"/>
  <c r="D24" i="6"/>
  <c r="A38" i="5"/>
  <c r="C11" i="7"/>
  <c r="AF15" i="8" s="1"/>
  <c r="B13" i="5"/>
  <c r="B18" i="5"/>
  <c r="C8" i="7" s="1"/>
  <c r="B4" i="5"/>
  <c r="B10" i="5"/>
  <c r="C6" i="7" s="1"/>
  <c r="D17" i="2"/>
  <c r="E24" i="2"/>
  <c r="E17" i="2" s="1"/>
  <c r="C24" i="2"/>
  <c r="C17" i="2" s="1"/>
  <c r="D7" i="10" s="1"/>
  <c r="D15" i="2"/>
  <c r="E15" i="2"/>
  <c r="D16" i="2"/>
  <c r="E16" i="2"/>
  <c r="C16" i="2"/>
  <c r="C15" i="2"/>
  <c r="E14" i="2"/>
  <c r="D14" i="2"/>
  <c r="C14" i="2"/>
  <c r="D7" i="2"/>
  <c r="C9" i="2" s="1"/>
  <c r="C4" i="2"/>
  <c r="D32" i="5" l="1"/>
  <c r="D34" i="5" s="1"/>
  <c r="C15" i="6" s="1"/>
  <c r="E32" i="5"/>
  <c r="C32" i="5"/>
  <c r="C31" i="5"/>
  <c r="L6" i="5"/>
  <c r="C37" i="5" s="1"/>
  <c r="B16" i="6" s="1"/>
  <c r="C17" i="7" s="1"/>
  <c r="B6" i="6"/>
  <c r="AG7" i="8" s="1"/>
  <c r="C30" i="5"/>
  <c r="E30" i="5"/>
  <c r="D6" i="6"/>
  <c r="E31" i="5"/>
  <c r="N6" i="5"/>
  <c r="E37" i="5" s="1"/>
  <c r="D16" i="6" s="1"/>
  <c r="D12" i="6"/>
  <c r="C12" i="6"/>
  <c r="B12" i="6"/>
  <c r="D10" i="6"/>
  <c r="C10" i="6"/>
  <c r="B10" i="6"/>
  <c r="B11" i="6"/>
  <c r="C11" i="6"/>
  <c r="C9" i="7" s="1"/>
  <c r="AF12" i="8" s="1"/>
  <c r="D11" i="6"/>
  <c r="C18" i="6" l="1"/>
  <c r="AF25" i="8"/>
  <c r="C34" i="5"/>
  <c r="B15" i="6" s="1"/>
  <c r="E34" i="5"/>
  <c r="D15" i="6" s="1"/>
  <c r="D18" i="6" s="1"/>
  <c r="C7" i="7"/>
  <c r="B24" i="7"/>
  <c r="C13" i="7" l="1"/>
  <c r="AF19" i="8" s="1"/>
  <c r="B18" i="6"/>
  <c r="AF8" i="8"/>
  <c r="C19" i="6"/>
  <c r="C30" i="6" s="1"/>
  <c r="C31" i="6" s="1"/>
  <c r="I10" i="6"/>
  <c r="I5" i="6" s="1"/>
  <c r="H10" i="6" l="1"/>
  <c r="H11" i="6" s="1"/>
  <c r="B19" i="6"/>
  <c r="B25" i="6" s="1"/>
  <c r="I11" i="6"/>
  <c r="I13" i="6"/>
  <c r="C19" i="7"/>
  <c r="AF29" i="8" s="1"/>
  <c r="C26" i="6"/>
  <c r="C27" i="6" s="1"/>
  <c r="C25" i="6"/>
  <c r="D19" i="6"/>
  <c r="D25" i="6" s="1"/>
  <c r="J10" i="6"/>
  <c r="J5" i="6" s="1"/>
  <c r="B25" i="7"/>
  <c r="A8" i="9" s="1"/>
  <c r="AG9" i="8" s="1"/>
  <c r="H13" i="6" l="1"/>
  <c r="H5" i="6"/>
  <c r="A28" i="7"/>
  <c r="B30" i="6"/>
  <c r="B31" i="6" s="1"/>
  <c r="B26" i="6"/>
  <c r="B27" i="6" s="1"/>
  <c r="J11" i="6"/>
  <c r="J13" i="6"/>
  <c r="AG21" i="8" s="1"/>
  <c r="B22" i="7"/>
  <c r="D26" i="6"/>
  <c r="D27" i="6" s="1"/>
  <c r="D30" i="6"/>
  <c r="D31" i="6"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<sst xmlns="http://schemas.openxmlformats.org/spreadsheetml/2006/main" count="537" uniqueCount="474">
  <si>
    <t>Full de càlcul per a l'estimació del preu públic per a instal·lacions fotovoltaiques d'ús col·lectiu</t>
  </si>
  <si>
    <t>podeu modificar els valors d'aquestes cel·les</t>
  </si>
  <si>
    <t>Dades  de la instal·lació</t>
  </si>
  <si>
    <t>Dades econòmiques</t>
  </si>
  <si>
    <t>Botons per anar endavant i enrere del full de càlcul</t>
  </si>
  <si>
    <t>Resultats de cada escenari</t>
  </si>
  <si>
    <t>Tria d'escenari</t>
  </si>
  <si>
    <t>Memòria</t>
  </si>
  <si>
    <t>Aquest llibre de càlcul permet calcular el cost dels serveis d'autoconsum col·lectiu dels ens locals i que permet establir el preu públic  associat</t>
  </si>
  <si>
    <t>Es calcularà el cost per cada kWp compartit.</t>
  </si>
  <si>
    <t>Els preus i costos a introduir no inclouen iVA, només cal afegir-lo sinó es degrava</t>
  </si>
  <si>
    <t>valors a introduir</t>
  </si>
  <si>
    <t>valors a introduir si es té la dada</t>
  </si>
  <si>
    <t>Municipi</t>
  </si>
  <si>
    <t>Alpens</t>
  </si>
  <si>
    <t>INE</t>
  </si>
  <si>
    <t>Nombre d'instal·lacions que es volen compartir</t>
  </si>
  <si>
    <t>Potència total de les instal·lacions (kWp)</t>
  </si>
  <si>
    <t>Producció anual prevista segons projecte (kWh)</t>
  </si>
  <si>
    <t>Producció anual estimada (kWh)</t>
  </si>
  <si>
    <t>Escenari 1</t>
  </si>
  <si>
    <t>Escenari 2</t>
  </si>
  <si>
    <t>Escenari 3</t>
  </si>
  <si>
    <t>Percentatge que es vol reservar a equipaments propis (%)</t>
  </si>
  <si>
    <t>Percentatge que es cedirà a ciutadania (%)</t>
  </si>
  <si>
    <t>Potència associada a equipaments (kWp)</t>
  </si>
  <si>
    <t>Potència disponible per compartir (kWp)</t>
  </si>
  <si>
    <t>Nre de CUPS a les que es vol arribar</t>
  </si>
  <si>
    <t>Calculadora per determinar CUPS</t>
  </si>
  <si>
    <t>kWp/llar</t>
  </si>
  <si>
    <t>kWp/activitat</t>
  </si>
  <si>
    <t>Nre de llars</t>
  </si>
  <si>
    <t>Nre. d'activitats</t>
  </si>
  <si>
    <t>Concepte</t>
  </si>
  <si>
    <t>Cost d'inversió (€)</t>
  </si>
  <si>
    <t>Vida útil de la instal·lació (anys)</t>
  </si>
  <si>
    <t>Cost inversió anual (€/any)</t>
  </si>
  <si>
    <t>Ajuts percebuts (€)</t>
  </si>
  <si>
    <t>Manteniment i operació</t>
  </si>
  <si>
    <t>Percentatge respecte cost inversió (manteniment)</t>
  </si>
  <si>
    <t>En cas que no es disposi de pressupost del cost de manteniment</t>
  </si>
  <si>
    <t>Manteniment de les instal·lacions (€/any)</t>
  </si>
  <si>
    <t>En cas de disposar de pressupost, indicar-lo</t>
  </si>
  <si>
    <t>Percentatge respecte cost inversió (reposició)</t>
  </si>
  <si>
    <t>Reposició de les instal·lacions (€/any)</t>
  </si>
  <si>
    <t>Reposicióde les instal·lacions (€/any)</t>
  </si>
  <si>
    <t>Assegurança</t>
  </si>
  <si>
    <t>Percentatge respecte cost inversió (assegurança)</t>
  </si>
  <si>
    <t>Assegurança de les instal·lacions (€/any)</t>
  </si>
  <si>
    <t>Comunicació i difusió del projecte</t>
  </si>
  <si>
    <t>Estudi repartiments previs (€)</t>
  </si>
  <si>
    <t>Estudi econòmic i redacció ordenança (€)</t>
  </si>
  <si>
    <t>Redacció bases (€)</t>
  </si>
  <si>
    <t>Sessions comunicació ciutadania (€)</t>
  </si>
  <si>
    <t>Anys de durada del servei d'autoconsum (anys)</t>
  </si>
  <si>
    <t>Disposo de pressupost de tot l'anterior (€)</t>
  </si>
  <si>
    <t>Cost anual de comunicació i difusió (€/any)</t>
  </si>
  <si>
    <t>Costos de gestió</t>
  </si>
  <si>
    <t>Atenció als usuaris, altes baixes i consultes (€/CUPS.any)</t>
  </si>
  <si>
    <t>Programari de gestió (€/CUPS.any)</t>
  </si>
  <si>
    <t>Programari de gestió (€/instal·lació FV. any)</t>
  </si>
  <si>
    <t>Disposo de pressupost per a cada escenari</t>
  </si>
  <si>
    <t>Cost anual de gestió del projecte (€/any)</t>
  </si>
  <si>
    <t>Gestió administrativa del preu públic</t>
  </si>
  <si>
    <t>Gestió realitzada per l’ajuntament (€/CUPS.any)</t>
  </si>
  <si>
    <t>Altres despeses directes imputables (€/any)</t>
  </si>
  <si>
    <t>Altres despeses indirectes imputables (€/any)</t>
  </si>
  <si>
    <t>DESPESES</t>
  </si>
  <si>
    <t>LLARS VULNERABLES</t>
  </si>
  <si>
    <t xml:space="preserve">Indica nombre de llars vulnerables </t>
  </si>
  <si>
    <t>kWp/llar vunerable</t>
  </si>
  <si>
    <t>Preu públic proposat per a llars vulnerables (€/kWp)</t>
  </si>
  <si>
    <t>Preu públic suggerit no vulnerables amb balanç neutre despeses-ingressos (€/kWp.any)</t>
  </si>
  <si>
    <t>Preu públic escollit (€/kWp.any)</t>
  </si>
  <si>
    <t>Nombre d'instal·laccions fotovoltaiques</t>
  </si>
  <si>
    <t>Ingressos per preu públic</t>
  </si>
  <si>
    <t>Costos repercutits en la part compartida (total kWp compartits)</t>
  </si>
  <si>
    <t>Ingressos per ajuts</t>
  </si>
  <si>
    <t>Amortització (€/any)</t>
  </si>
  <si>
    <t>Ingressos totals</t>
  </si>
  <si>
    <t>Manteniment (€/any)</t>
  </si>
  <si>
    <t>Despeses</t>
  </si>
  <si>
    <t>Assegurança (€/any)</t>
  </si>
  <si>
    <t>Balanç</t>
  </si>
  <si>
    <t>Difusió i comunicació del projecte (€/any)</t>
  </si>
  <si>
    <t>% de reducció quota vulnerables</t>
  </si>
  <si>
    <t>% cobertura preu públic</t>
  </si>
  <si>
    <t>Gestió administrativa: multiplica per nombre CUPS</t>
  </si>
  <si>
    <t>kWp associats a quota A (no vulnerable)</t>
  </si>
  <si>
    <t>Gestió administrativa del projecte (€/any)</t>
  </si>
  <si>
    <t>kWp associats a quota B (vulnerable)</t>
  </si>
  <si>
    <t>Gestió administrativa del preu públic (€/any)</t>
  </si>
  <si>
    <t>Quota A (€/kWp.any) IVA inclòs</t>
  </si>
  <si>
    <t>Quota B (€/kWp.any) IVA inclòs</t>
  </si>
  <si>
    <t>Costos anuals sense ajudes (€/any)</t>
  </si>
  <si>
    <t>Costos anuals sense ajudes per kWp (€/any)</t>
  </si>
  <si>
    <t xml:space="preserve">INGRESSOS </t>
  </si>
  <si>
    <t>Ajudes percebudes per l'ens local per any</t>
  </si>
  <si>
    <t>Ajudes (€/any)</t>
  </si>
  <si>
    <t>Ajudes (€/kWp.any)</t>
  </si>
  <si>
    <t>preu públic igual a despeses x kWp repartits</t>
  </si>
  <si>
    <t>Per participants</t>
  </si>
  <si>
    <t>Ingressos anuals (€/any)</t>
  </si>
  <si>
    <t>PREU PÚBLIC PROPOSAT(€/kWp.any)</t>
  </si>
  <si>
    <t>Igual a despeses (€/any)</t>
  </si>
  <si>
    <t>Amb descompte equivalent a ajuts percebuts (€/any)</t>
  </si>
  <si>
    <t>IVA aplicable (%)</t>
  </si>
  <si>
    <t>Tria escenari</t>
  </si>
  <si>
    <t>Potència a compartir (kWp)</t>
  </si>
  <si>
    <t>COSTOS DIRECTES</t>
  </si>
  <si>
    <t>FÓRMULES</t>
  </si>
  <si>
    <t>CÀLCUL </t>
  </si>
  <si>
    <t>Cost anual amortització instal·lacions dels kWp a compartir:</t>
  </si>
  <si>
    <r>
      <t xml:space="preserve">Costos anuals de manteniment de les instal ·lacions:          </t>
    </r>
    <r>
      <rPr>
        <sz val="9"/>
        <color theme="1"/>
        <rFont val="Arial"/>
        <family val="2"/>
      </rPr>
      <t>Neteja plaques, revisions anuals de les instal·lacions i reposisició de materials</t>
    </r>
  </si>
  <si>
    <t>Costos anuals assegurances de les instal·lacions:</t>
  </si>
  <si>
    <t>Costos de difusió i comunicació del projecte</t>
  </si>
  <si>
    <t>Costos anuals de gestió administrativa del projecte (*)</t>
  </si>
  <si>
    <t xml:space="preserve">Gestió realitzada per una empresa externa </t>
  </si>
  <si>
    <t>Altres despeses directes</t>
  </si>
  <si>
    <t>COSTOS INDIRECTES</t>
  </si>
  <si>
    <t>Delegació de la recaptació (€/Any)</t>
  </si>
  <si>
    <t>Altres despeses indirectes</t>
  </si>
  <si>
    <t>COST TOTAL POTÈNCIA TOTAL COMPARTIDA (COSTOS DIRECTES + COSTOS INDIRECTES)</t>
  </si>
  <si>
    <t>Sumatori de tots els costos anteriors</t>
  </si>
  <si>
    <t>Total kWp a compartir</t>
  </si>
  <si>
    <t>Cost unitari €/kWp</t>
  </si>
  <si>
    <t>Preu públic proposat (€/kWp)</t>
  </si>
  <si>
    <t>IVA vigent</t>
  </si>
  <si>
    <t>IVA</t>
  </si>
  <si>
    <t>Total</t>
  </si>
  <si>
    <r>
      <rPr>
        <b/>
        <sz val="11"/>
        <color theme="1"/>
        <rFont val="Calibri"/>
        <family val="2"/>
      </rPr>
      <t xml:space="preserve">Legislació aplicable </t>
    </r>
    <r>
      <rPr>
        <sz val="11"/>
        <color theme="1"/>
        <rFont val="Calibri"/>
        <family val="2"/>
      </rPr>
      <t xml:space="preserve">
L’article 41 del text refós de la Llei reguladora de les hisendes locals, aprovat pel Reial decret legislatiu 2/2004, de 5 de març (en endavant, TRLRHL), disposa que les entitats locals podran establir preus públics per a la prestació de serveis o la realització d’activitats de la competència de l’entitat local, sempre que concorrin les següents circumstàncies:
a) El servei es refereixi, afecti o beneficiï de forma particular a l’obligat al pagament
b) La recepció del servei és voluntària per als particulars
c) Els serveis es presten pel sector privat
L’article 25.2 de la Llei 7/1985, de 2 d’abril, reguladora de les bases del règim local —modificat pel Reial decret llei 7/2026, de 20 de març, pel qual s’aprova el Pla Integral de Resposta a la Crisi d’Orient Mitjà— estableix, com a competència pròpia dels municipis, la promoció i participació en comunitats ciutadanes d’energia i comunitats d’energies renovables que permetin contribuir a l’obtenció de beneficis mediambientals, econòmics i socials en els municipis on operen, així com l’impuls d’actuacions de transició energètica, com l’eficiència energètica, l’electrificació i el foment de l’autoconsum.
Així mateix, l’article 66.2 del Decret legislatiu 2/2003, de 28 d’abril, pel qual s’aprova el text refós de la Llei municipal i de règim local de Catalunya, estableix que les entitats locals tenen competències en els àmbits de la participació ciutadana, de l’autoorganització, de la identitat i la representació locals, de la sostenibilitat ambiental i la gestió territorial, de la cohesió social, de les infraestructures de mobilitat, de la connectivitat, de la tecnologia de la informació i de la comunicació, dels abastaments energètics, de la promoció de la transició energètica justa i distribuïda i de la gestió de recursos econòmics, entre d’altres.
Aquesta memòria s’emet en compliment del previst en l’article 26.2 de la Llei 8/1989, de 13 d’abril, de taxes i preus públics, el qual estableix que la proposta de fixació o modificació de preus públics ha d’anar acompanyada d’una memòria economicofinancera, i té per objecte verificar que l’import del preu públic s’ajusta a allò previst en l’article 44 del TRLRHL. Aquest determina que els preus públics hauran de cobrir com a mínim el cost del servei prestat o l’activitat realitzada i que es poden fixar preus públics per sota del cost quan existeixin raons socials, benèfiques, culturals o d’interès públic que així ho aconsellin. En aquests casos s’han de consignar en els pressupostos de l’entitat les dotacions oportunes per a la cobertura de la diferència resultant, si n’hi ha.  
La modalitat d’autoconsum col·lectiu de què es deriven els serveis pels quals s’exigeix aquest preu públic és l’autoconsum col·lectiu amb excedents acollit a compensació.
</t>
    </r>
    <r>
      <rPr>
        <u/>
        <sz val="11"/>
        <color theme="1"/>
        <rFont val="Calibri"/>
        <family val="2"/>
      </rPr>
      <t xml:space="preserve">Conceptes bàsics </t>
    </r>
    <r>
      <rPr>
        <sz val="11"/>
        <color theme="1"/>
        <rFont val="Calibri"/>
        <family val="2"/>
      </rPr>
      <t xml:space="preserve">
</t>
    </r>
    <r>
      <rPr>
        <b/>
        <sz val="11"/>
        <color theme="1"/>
        <rFont val="Calibri"/>
        <family val="2"/>
      </rPr>
      <t xml:space="preserve">Consumidor associat </t>
    </r>
    <r>
      <rPr>
        <sz val="11"/>
        <color theme="1"/>
        <rFont val="Calibri"/>
        <family val="2"/>
      </rPr>
      <t>[article 3 lletra a) del RD 244/2019]: Consumidor en un punt de subministrament que té associades instal·lacions properes de xarxa interior o instal·lacions properes a través de la xarxa.  És el consumidor que està vinculat a una instal·lació de producció d’autoconsum (individual o col·lectiu), formant part —si escau— d’un acord de repartiment d’energia, i que comparteix aquesta instal·lació amb altres consumidors en el marc d’un autoconsum col·lectiu.</t>
    </r>
  </si>
  <si>
    <r>
      <rPr>
        <b/>
        <sz val="11"/>
        <color theme="1"/>
        <rFont val="Arial"/>
        <family val="2"/>
      </rPr>
      <t>Instal·lació de producció propera a les de consum i associada a aquestes</t>
    </r>
    <r>
      <rPr>
        <sz val="11"/>
        <color theme="1"/>
        <rFont val="Arial"/>
        <family val="2"/>
      </rPr>
      <t xml:space="preserve"> [article 3 lletra g) del RD 244/2019 i disposició final decimoquarta del Reial decret llei 7/2026]: instal·lació de producció o generació destinada a generar energia elèctrica per subministrar-ne a un o més consumidors acollits a qualsevol de les modalitats d’autoconsum i que compleixen les condicions que estableixi la normativa vigent:
(i)  Que estiguin connectades a la xarxa interior dels consumidors associats o estiguin unides a aquestes a través de línies directes
(ii) Que estiguin connectades a qualsevol de les xarxes de baixa tensió derivades del mateix centre de transformació
(iii) Que estiguin connectats, tant la generació com els consums, en baixa tensió i a una distància entre si inferior a 5.000 metres o el radi que disposi la normativa vigent. 
(iv) Estiguin ubicats, tant la generació com els consums, en una mateixa referència cadastral segons els seus primers 14 dígits.
</t>
    </r>
    <r>
      <rPr>
        <b/>
        <sz val="11"/>
        <color theme="1"/>
        <rFont val="Arial"/>
        <family val="2"/>
      </rPr>
      <t xml:space="preserve">Autoconsum col·lectiu </t>
    </r>
    <r>
      <rPr>
        <sz val="11"/>
        <color theme="1"/>
        <rFont val="Arial"/>
        <family val="2"/>
      </rPr>
      <t xml:space="preserve">[article 3 lletra m) del RD 244/2019]: Un subjecte consumidor participa en un autoconsum col·lectiu quan pertany a un grup de diversos consumidors que s’alimenten, de manera acordada, d’energia elèctrica provinent d’instal·lacions de producció properes a les de consum i associades a aquests.
</t>
    </r>
    <r>
      <rPr>
        <b/>
        <sz val="11"/>
        <color theme="1"/>
        <rFont val="Arial"/>
        <family val="2"/>
      </rPr>
      <t>Modalitat de subministrament amb autoconsum amb excedents acollida a compensació</t>
    </r>
    <r>
      <rPr>
        <sz val="11"/>
        <color theme="1"/>
        <rFont val="Arial"/>
        <family val="2"/>
      </rPr>
      <t xml:space="preserve"> [article 4 del RD 244/2019]: Els casos en què voluntàriament el consumidor i el productor opten per acollir-se a un mecanisme de compensació d’excedents. 
Gestió de l’autoconsum col·lectiu: És l’activitat necessària per activar i mantenir l’autoconsum col·lectiu. El gestor de l’autoconsum s’encarrega de la gestió administrativa, tècnica i energètica.
- Activació de l’autoconsum col·lectiu: Recollida de dades dels participants, redacció de l’acord de repartiment, incorporació dels participants en l’acord de repartiment, tramitació de l’acord de repartiment amb les comercialitzadores de cadascun dels participants. 
- Comunicació, difusió, capacitació i resolució de dubtes als participants: Informar del projecte d’autoconsum col·lectiu, de com inscriure’s, del funcionament de l’autoconsum col·lectiu, dels resultats esperats, del seguiment del projecte, atenció en la  resolució de dubtes tant en la fase d’inscripció al projecte com de seguiment, jornades de comunicació a ciutadania
- Seguiment del projecte: Gestió d’altes i baixes de participants, seguiment del funcionament de les instal·lacions, del grau de satisfacció dels participants, propostes d’accions de millora, informes periòdics sobre el funcionament del projecte i de les instal·lacions.
- Plataforma de gestió: Per a facilitar el seguiment del projecte tant per part de l’ajuntament com dels participants cal disposar d’una plataforma energètica amb rols diferenciats entre el promotor, ajuntament i el participant.</t>
    </r>
  </si>
  <si>
    <t>Determinació dels costos previstos dels serveis</t>
  </si>
  <si>
    <t xml:space="preserve">Determinació  del cost unitari i proposta del preu públic a abonar pels obligats al pagament </t>
  </si>
  <si>
    <t>CÀLCUL</t>
  </si>
  <si>
    <t>IMPORT</t>
  </si>
  <si>
    <t xml:space="preserve">Cost anual amortització instal·lacions dels kWp a compartir:  </t>
  </si>
  <si>
    <t>COST UNITARI</t>
  </si>
  <si>
    <t>COST TOTAL potència total compartida x kWp consumidor associat        total kWp compartits</t>
  </si>
  <si>
    <t>Costos  anuals manteniment instal·lacions: neteja plaques, revisions anuals de les instal·lacions i reposició de materials</t>
  </si>
  <si>
    <t xml:space="preserve">Costos anuals assegurances instal·lacions </t>
  </si>
  <si>
    <t>MEMÒRIA ECONOMICOFINANCERA PER A L’ESTABLIMENT D’UN PREU PÚBLIC PER LA PRESTACIÓ DELS SERVEIS D’AUTOCONSUM COL·LECTIU MUNICIPAL</t>
  </si>
  <si>
    <t>Costos anuals gestió administrativa del projecte (*):</t>
  </si>
  <si>
    <t>Percentatge de cobertura del cost dels serveis</t>
  </si>
  <si>
    <t xml:space="preserve">Altres despeses imputables </t>
  </si>
  <si>
    <t>Gestió administrativa del preu públic:</t>
  </si>
  <si>
    <t>Conclusió</t>
  </si>
  <si>
    <t>Vist el percentatge de cobertura del cost resultant, s’ha verificat que es disposa de consignació pressupostària adequada per a fer front al dèficit que generi l’establiment del preu públic en el cas que sigui inferior al 100%, tot donant compliment a allò previst en l’article 44 del TRLRHL.</t>
  </si>
  <si>
    <t xml:space="preserve">COST TOTAL POTÈNCIA TOTAL COMPARTIDA </t>
  </si>
  <si>
    <t>(COSTOS DIRECTES+COSTOS INDIRECTES)</t>
  </si>
  <si>
    <t>(*) La gestió administrativa del projecte inclou la tramitació dels acords de repartiments, els tràmits amb les comercialitzadores i distribuïdores, el seguiment de tots els tràmits, altes i baixes de nous participants i el seguiment mensual dels estalvis econòmics, socials i ambientals.</t>
  </si>
  <si>
    <t>vuln</t>
  </si>
  <si>
    <t>ajuts</t>
  </si>
  <si>
    <t>NO VULN</t>
  </si>
  <si>
    <t>VULN</t>
  </si>
  <si>
    <t>municipi</t>
  </si>
  <si>
    <t>PVGIS 2021 kWh/kW</t>
  </si>
  <si>
    <t>codi</t>
  </si>
  <si>
    <t>Abrera</t>
  </si>
  <si>
    <t>Delegació de la recaptació (€/CUPS. Any)</t>
  </si>
  <si>
    <t>Calcular el % que suposa la recaptació del preu públic sobre el total recaptat de tributs i altres ingressos de dret públic i aplicar aquest % al preu  cobrat per l’ORGT</t>
  </si>
  <si>
    <t>Aguilar de Segarra</t>
  </si>
  <si>
    <t>% costos directes (màxim 5%) o càlcul del cost del personal dedicat a cobrament del preu públic</t>
  </si>
  <si>
    <t>Alella</t>
  </si>
  <si>
    <t>l'Ametlla del Vallès</t>
  </si>
  <si>
    <t>Arenys de Mar</t>
  </si>
  <si>
    <t>Arenys de Munt</t>
  </si>
  <si>
    <t>Argençola</t>
  </si>
  <si>
    <t>Argentona</t>
  </si>
  <si>
    <t>Artés</t>
  </si>
  <si>
    <t xml:space="preserve">Gestió realitzada per l’ajuntament </t>
  </si>
  <si>
    <t>Costos de personal (100% o segons dedicació)xCost plataforma</t>
  </si>
  <si>
    <t>Avià</t>
  </si>
  <si>
    <t>Import anual de contracte</t>
  </si>
  <si>
    <t>Avinyó</t>
  </si>
  <si>
    <t>Avinyonet del Penedès</t>
  </si>
  <si>
    <t>Aiguafreda</t>
  </si>
  <si>
    <t>Badalona</t>
  </si>
  <si>
    <t>Bagà</t>
  </si>
  <si>
    <t>Balenyà</t>
  </si>
  <si>
    <t>Balsareny</t>
  </si>
  <si>
    <t>Barcelona</t>
  </si>
  <si>
    <t>Begues</t>
  </si>
  <si>
    <t>Bellprat</t>
  </si>
  <si>
    <t>Berga</t>
  </si>
  <si>
    <t>Bigues i Riells del Fai</t>
  </si>
  <si>
    <t>Borredà</t>
  </si>
  <si>
    <t>el Bruc</t>
  </si>
  <si>
    <t>el Brull</t>
  </si>
  <si>
    <t>les Cabanyes</t>
  </si>
  <si>
    <t>Cabrera d'Anoia</t>
  </si>
  <si>
    <t>Cabrera de Mar</t>
  </si>
  <si>
    <t>Cabrils</t>
  </si>
  <si>
    <t>Calaf</t>
  </si>
  <si>
    <t>Caldes d'Estrac</t>
  </si>
  <si>
    <t>Caldes de Montbui</t>
  </si>
  <si>
    <t>Calders</t>
  </si>
  <si>
    <t>Calella</t>
  </si>
  <si>
    <t>Calonge de Segarra</t>
  </si>
  <si>
    <t>Calldetenes</t>
  </si>
  <si>
    <t>Callús</t>
  </si>
  <si>
    <t>Campins</t>
  </si>
  <si>
    <t>Canet de Mar</t>
  </si>
  <si>
    <t>Canovelles</t>
  </si>
  <si>
    <t>Cànoves i Samalús</t>
  </si>
  <si>
    <t>Canyelles</t>
  </si>
  <si>
    <t>Capellades</t>
  </si>
  <si>
    <t>Capolat</t>
  </si>
  <si>
    <t>Cardedeu</t>
  </si>
  <si>
    <t>Cardona</t>
  </si>
  <si>
    <t>Carme</t>
  </si>
  <si>
    <t>Casserres</t>
  </si>
  <si>
    <t>Castellar del Riu</t>
  </si>
  <si>
    <t>Castellar del Vallès</t>
  </si>
  <si>
    <t>Castellar de n'Hug</t>
  </si>
  <si>
    <t>Castellbell i el Vilar</t>
  </si>
  <si>
    <t>Castellbisbal</t>
  </si>
  <si>
    <t>Castellcir</t>
  </si>
  <si>
    <t>Castelldefels</t>
  </si>
  <si>
    <t>Castell de l'Areny</t>
  </si>
  <si>
    <t>Castellet i la Gornal</t>
  </si>
  <si>
    <t>Castellfollit del Boix</t>
  </si>
  <si>
    <t>Castellfollit de Riubregós</t>
  </si>
  <si>
    <t>Castellgalí</t>
  </si>
  <si>
    <t>Castellnou de Bages</t>
  </si>
  <si>
    <t>Castellolí</t>
  </si>
  <si>
    <t>Castellterçol</t>
  </si>
  <si>
    <t>Castellví de la Marca</t>
  </si>
  <si>
    <t>Castellví de Rosanes</t>
  </si>
  <si>
    <t>Centelles</t>
  </si>
  <si>
    <t>Cervelló</t>
  </si>
  <si>
    <t>Collbató</t>
  </si>
  <si>
    <t>Collsuspina</t>
  </si>
  <si>
    <t>Copons</t>
  </si>
  <si>
    <t>Corbera de Llobregat</t>
  </si>
  <si>
    <t>Cornellà de Llobregat</t>
  </si>
  <si>
    <t>Cubelles</t>
  </si>
  <si>
    <t>Dosrius</t>
  </si>
  <si>
    <t>Esparreguera</t>
  </si>
  <si>
    <t>Esplugues de Llobregat</t>
  </si>
  <si>
    <t>l'Espunyola</t>
  </si>
  <si>
    <t>l'Estany</t>
  </si>
  <si>
    <t>Fígols</t>
  </si>
  <si>
    <t>Fogars de Montclús</t>
  </si>
  <si>
    <t>Fogars de la Selva</t>
  </si>
  <si>
    <t>Folgueroles</t>
  </si>
  <si>
    <t>Fonollosa</t>
  </si>
  <si>
    <t>Font-rubí</t>
  </si>
  <si>
    <t>les Franqueses del Vallès</t>
  </si>
  <si>
    <t>Gallifa</t>
  </si>
  <si>
    <t>la Garriga</t>
  </si>
  <si>
    <t>Gavà</t>
  </si>
  <si>
    <t>Gaià</t>
  </si>
  <si>
    <t>Gelida</t>
  </si>
  <si>
    <t>Gironella</t>
  </si>
  <si>
    <t>Gisclareny</t>
  </si>
  <si>
    <t>la Granada</t>
  </si>
  <si>
    <t>Granera</t>
  </si>
  <si>
    <t>Granollers</t>
  </si>
  <si>
    <t>Gualba</t>
  </si>
  <si>
    <t>Sant Salvador de Guardiola</t>
  </si>
  <si>
    <t>Guardiola de Berguedà</t>
  </si>
  <si>
    <t>Gurb</t>
  </si>
  <si>
    <t>l'Hospitalet de Llobregat</t>
  </si>
  <si>
    <t>Igualada</t>
  </si>
  <si>
    <t>Jorba</t>
  </si>
  <si>
    <t>la Llacuna</t>
  </si>
  <si>
    <t>la Llagosta</t>
  </si>
  <si>
    <t>Llinars del Vallès</t>
  </si>
  <si>
    <t>Lliçà d'Amunt</t>
  </si>
  <si>
    <t>Lliçà de Vall</t>
  </si>
  <si>
    <t>Lluçà</t>
  </si>
  <si>
    <t>Malgrat de Mar</t>
  </si>
  <si>
    <t>Malla</t>
  </si>
  <si>
    <t>Manlleu</t>
  </si>
  <si>
    <t>Manresa</t>
  </si>
  <si>
    <t>Martorell</t>
  </si>
  <si>
    <t>Martorelles</t>
  </si>
  <si>
    <t>les Masies de Roda</t>
  </si>
  <si>
    <t>les Masies de Voltregà</t>
  </si>
  <si>
    <t>el Masnou</t>
  </si>
  <si>
    <t>Masquefa</t>
  </si>
  <si>
    <t>Matadepera</t>
  </si>
  <si>
    <t>Mataró</t>
  </si>
  <si>
    <t>Mediona</t>
  </si>
  <si>
    <t>Molins de Rei</t>
  </si>
  <si>
    <t>Mollet del Vallès</t>
  </si>
  <si>
    <t>Montcada i Reixac</t>
  </si>
  <si>
    <t>Montgat</t>
  </si>
  <si>
    <t>Monistrol de Montserrat</t>
  </si>
  <si>
    <t>Monistrol de Calders</t>
  </si>
  <si>
    <t>Muntanyola</t>
  </si>
  <si>
    <t>Montclar</t>
  </si>
  <si>
    <t>Montesquiu</t>
  </si>
  <si>
    <t>Montmajor</t>
  </si>
  <si>
    <t>Montmaneu</t>
  </si>
  <si>
    <t>Figaró - Montmany</t>
  </si>
  <si>
    <t>Montmeló</t>
  </si>
  <si>
    <t>Montornès del Vallès</t>
  </si>
  <si>
    <t>Montseny</t>
  </si>
  <si>
    <t>Moià</t>
  </si>
  <si>
    <t>Mura</t>
  </si>
  <si>
    <t>Navarcles</t>
  </si>
  <si>
    <t>Navàs</t>
  </si>
  <si>
    <t>la Nou de Berguedà</t>
  </si>
  <si>
    <t>Òdena</t>
  </si>
  <si>
    <t>Olvan</t>
  </si>
  <si>
    <t>Olèrdola</t>
  </si>
  <si>
    <t>Olesa de Bonesvalls</t>
  </si>
  <si>
    <t>Olesa de Montserrat</t>
  </si>
  <si>
    <t>Olivella</t>
  </si>
  <si>
    <t>Olost</t>
  </si>
  <si>
    <t>Orís</t>
  </si>
  <si>
    <t>Oristà</t>
  </si>
  <si>
    <t>Orpí</t>
  </si>
  <si>
    <t>Òrrius</t>
  </si>
  <si>
    <t>Pacs del Penedès</t>
  </si>
  <si>
    <t>Palafolls</t>
  </si>
  <si>
    <t>Palau-solità i Plegamans</t>
  </si>
  <si>
    <t>Pallejà</t>
  </si>
  <si>
    <t>el Papiol</t>
  </si>
  <si>
    <t>Parets del Vallès</t>
  </si>
  <si>
    <t>Perafita</t>
  </si>
  <si>
    <t>Piera</t>
  </si>
  <si>
    <t>els Hostalets de Pierola</t>
  </si>
  <si>
    <t>Pineda de Mar</t>
  </si>
  <si>
    <t>el Pla del Penedès</t>
  </si>
  <si>
    <t>la Pobla de Claramunt</t>
  </si>
  <si>
    <t>la Pobla de Lillet</t>
  </si>
  <si>
    <t>Polinyà</t>
  </si>
  <si>
    <t>Pontons</t>
  </si>
  <si>
    <t>el Prat de Llobregat</t>
  </si>
  <si>
    <t>els Prats de Rei</t>
  </si>
  <si>
    <t>Prats de Lluçanès</t>
  </si>
  <si>
    <t>Premià de Mar</t>
  </si>
  <si>
    <t>Puigdàlber</t>
  </si>
  <si>
    <t>Puig-reig</t>
  </si>
  <si>
    <t>Pujalt</t>
  </si>
  <si>
    <t>la Quar</t>
  </si>
  <si>
    <t>Rajadell</t>
  </si>
  <si>
    <t>Rellinars</t>
  </si>
  <si>
    <t>Ripollet</t>
  </si>
  <si>
    <t>la Roca del Vallès</t>
  </si>
  <si>
    <t>el Pont de Vilomara i Rocafort</t>
  </si>
  <si>
    <t>Roda de Ter</t>
  </si>
  <si>
    <t>Rubí</t>
  </si>
  <si>
    <t>Rubió</t>
  </si>
  <si>
    <t>Sabadell</t>
  </si>
  <si>
    <t>Sagàs</t>
  </si>
  <si>
    <t>Sant Pere Sallavinera</t>
  </si>
  <si>
    <t>Saldes</t>
  </si>
  <si>
    <t>Sallent</t>
  </si>
  <si>
    <t>Santpedor</t>
  </si>
  <si>
    <t>Sant Iscle de Vallalta</t>
  </si>
  <si>
    <t>Sant Adrià de Besòs</t>
  </si>
  <si>
    <t>Sant Agustí de Lluçanès</t>
  </si>
  <si>
    <t>Sant Andreu de la Barca</t>
  </si>
  <si>
    <t>Sant Andreu de Llavaneres</t>
  </si>
  <si>
    <t>Sant Antoni de Vilamajor</t>
  </si>
  <si>
    <t>Sant Bartomeu del Grau</t>
  </si>
  <si>
    <t>Sant Boi de Llobregat</t>
  </si>
  <si>
    <t>Sant Boi de Lluçanès</t>
  </si>
  <si>
    <t>Sant Celoni</t>
  </si>
  <si>
    <t>Sant Cebrià de Vallalta</t>
  </si>
  <si>
    <t>Sant Climent de Llobregat</t>
  </si>
  <si>
    <t>Sant Cugat del Vallès</t>
  </si>
  <si>
    <t>Sant Cugat Sesgarrigues</t>
  </si>
  <si>
    <t>Sant Esteve de Palautordera</t>
  </si>
  <si>
    <t>Sant Esteve Sesrovires</t>
  </si>
  <si>
    <t>Sant Fost de Campsentelles</t>
  </si>
  <si>
    <t>Sant Feliu de Codines</t>
  </si>
  <si>
    <t>Sant Feliu de Llobregat</t>
  </si>
  <si>
    <t>Sant Feliu Sasserra</t>
  </si>
  <si>
    <t>Sant Fruitós de Bages</t>
  </si>
  <si>
    <t>Vilassar de Dalt</t>
  </si>
  <si>
    <t>Sant Hipòlit de Voltregà</t>
  </si>
  <si>
    <t>Sant Jaume de Frontanyà</t>
  </si>
  <si>
    <t>Sant Joan Despí</t>
  </si>
  <si>
    <t>Sant Joan de Vilatorrada</t>
  </si>
  <si>
    <t>Vilassar de Mar</t>
  </si>
  <si>
    <t>Sant Julià de Vilatorta</t>
  </si>
  <si>
    <t>Sant Just Desvern</t>
  </si>
  <si>
    <t>Sant Llorenç d'Hortons</t>
  </si>
  <si>
    <t>Sant Llorenç Savall</t>
  </si>
  <si>
    <t>Sant Martí de Centelles</t>
  </si>
  <si>
    <t>Sant Martí d'Albars</t>
  </si>
  <si>
    <t>Sant Martí de Tous</t>
  </si>
  <si>
    <t>Sant Martí Sarroca</t>
  </si>
  <si>
    <t>Sant Martí Sesgueioles</t>
  </si>
  <si>
    <t>Sant Mateu de Bages</t>
  </si>
  <si>
    <t>Premià de Dalt</t>
  </si>
  <si>
    <t>Sant Pere de Ribes</t>
  </si>
  <si>
    <t>Sant Pere de Riudebitlles</t>
  </si>
  <si>
    <t>Sant Pere de Torelló</t>
  </si>
  <si>
    <t>Sant Pere de Vilamajor</t>
  </si>
  <si>
    <t>Sant Pol de Mar</t>
  </si>
  <si>
    <t>Sant Quintí de Mediona</t>
  </si>
  <si>
    <t>Sant Quirze de Besora</t>
  </si>
  <si>
    <t>Sant Quirze del Vallès</t>
  </si>
  <si>
    <t>Sant Quirze Safaja</t>
  </si>
  <si>
    <t>Sant Sadurní d'Anoia</t>
  </si>
  <si>
    <t>Sant Sadurní d'Osormort</t>
  </si>
  <si>
    <t>Marganell</t>
  </si>
  <si>
    <t>Santa Cecília de Voltregà</t>
  </si>
  <si>
    <t>Santa Coloma de Cervelló</t>
  </si>
  <si>
    <t>Santa Coloma de Gramenet</t>
  </si>
  <si>
    <t>Santa Eugènia de Berga</t>
  </si>
  <si>
    <t>Santa Eulàlia de Riuprimer</t>
  </si>
  <si>
    <t>Santa Eulàlia de Ronçana</t>
  </si>
  <si>
    <t>Santa Fe del Penedès</t>
  </si>
  <si>
    <t>Santa Margarida de Montbui</t>
  </si>
  <si>
    <t>Santa Margarida i els Monjos</t>
  </si>
  <si>
    <t>Barberà del Vallès</t>
  </si>
  <si>
    <t>Santa Maria de Besora</t>
  </si>
  <si>
    <t>l'Esquirol</t>
  </si>
  <si>
    <t>Santa Maria de Merlès</t>
  </si>
  <si>
    <t>Santa Maria de Martorelles</t>
  </si>
  <si>
    <t>Santa Maria de Miralles</t>
  </si>
  <si>
    <t>Santa Maria d'Oló</t>
  </si>
  <si>
    <t>Santa Maria de Palautordera</t>
  </si>
  <si>
    <t>Santa Perpètua de Mogoda</t>
  </si>
  <si>
    <t>Santa Susanna</t>
  </si>
  <si>
    <t>Sant Vicenç de Castellet</t>
  </si>
  <si>
    <t>Sant Vicenç dels Horts</t>
  </si>
  <si>
    <t>Sant Vicenç de Montalt</t>
  </si>
  <si>
    <t>Sant Vicenç de Torelló</t>
  </si>
  <si>
    <t>Cerdanyola del Vallès</t>
  </si>
  <si>
    <t>Sentmenat</t>
  </si>
  <si>
    <t>Cercs</t>
  </si>
  <si>
    <t>Seva</t>
  </si>
  <si>
    <t>Sitges</t>
  </si>
  <si>
    <t>Sobremunt</t>
  </si>
  <si>
    <t>Sora</t>
  </si>
  <si>
    <t>Subirats</t>
  </si>
  <si>
    <t>Súria</t>
  </si>
  <si>
    <t>Tavèrnoles</t>
  </si>
  <si>
    <t>Tagamanent</t>
  </si>
  <si>
    <t>Talamanca</t>
  </si>
  <si>
    <t>Taradell</t>
  </si>
  <si>
    <t>Terrassa</t>
  </si>
  <si>
    <t>Tavertet</t>
  </si>
  <si>
    <t>Teià</t>
  </si>
  <si>
    <t>Tiana</t>
  </si>
  <si>
    <t>Tona</t>
  </si>
  <si>
    <t>Tordera</t>
  </si>
  <si>
    <t>Torelló</t>
  </si>
  <si>
    <t>la Torre de Claramunt</t>
  </si>
  <si>
    <t>Torrelavit</t>
  </si>
  <si>
    <t>Torrelles de Foix</t>
  </si>
  <si>
    <t>Torrelles de Llobregat</t>
  </si>
  <si>
    <t>Ullastrell</t>
  </si>
  <si>
    <t>Vacarisses</t>
  </si>
  <si>
    <t>Vallbona d'Anoia</t>
  </si>
  <si>
    <t>Vallcebre</t>
  </si>
  <si>
    <t>Vallgorguina</t>
  </si>
  <si>
    <t>Vallirana</t>
  </si>
  <si>
    <t>Vallromanes</t>
  </si>
  <si>
    <t>Veciana</t>
  </si>
  <si>
    <t>Vic</t>
  </si>
  <si>
    <t>Vilada</t>
  </si>
  <si>
    <t>Viladecavalls</t>
  </si>
  <si>
    <t>Viladecans</t>
  </si>
  <si>
    <t>Vilanova del Camí</t>
  </si>
  <si>
    <t>Vilanova de Sau</t>
  </si>
  <si>
    <t>Vilobí del Penedès</t>
  </si>
  <si>
    <t>Vilafranca del Penedès</t>
  </si>
  <si>
    <t>Vilalba Sasserra</t>
  </si>
  <si>
    <t>Vilanova i la Geltrú</t>
  </si>
  <si>
    <t>Viver i Serrateix</t>
  </si>
  <si>
    <t>Rupit i Pruit</t>
  </si>
  <si>
    <t>Vilanova del Vallès</t>
  </si>
  <si>
    <t>Sant Julià de Cerdanyola</t>
  </si>
  <si>
    <t>Badia del Vallès</t>
  </si>
  <si>
    <t>la Palma de Cervelló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</si>
</sst>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
    <numFmt numFmtId="166" formatCode="0.0"/>
  </numFmts>
  <fonts count="40" x14ac:knownFonts="1">
    <font>
      <sz val="11"/>
      <color theme="1"/>
      <name val="Calibri"/>
      <family val="2"/>
    </font>
    <font>
      <sz val="11"/>
      <color theme="1"/>
      <name val="Calibri"/>
      <family val="2"/>
    </font>
    <font>
      <b/>
      <sz val="11"/>
      <color theme="1"/>
      <name val="Calibri"/>
      <family val="2"/>
    </font>
    <font>
      <sz val="11"/>
      <color theme="0"/>
      <name val="Calibri"/>
      <family val="2"/>
    </font>
    <font>
      <u/>
      <sz val="11"/>
      <color theme="10"/>
      <name val="Calibri"/>
      <family val="2"/>
    </font>
    <font>
      <b/>
      <sz val="20"/>
      <color theme="1"/>
      <name val="Calibri"/>
      <family val="2"/>
    </font>
    <font>
      <sz val="12"/>
      <color theme="1"/>
      <name val="Calibri"/>
      <family val="2"/>
    </font>
    <font>
      <sz val="16"/>
      <color theme="1"/>
      <name val="Calibri"/>
      <family val="2"/>
    </font>
    <font>
      <u/>
      <sz val="16"/>
      <color theme="10"/>
      <name val="Calibri"/>
      <family val="2"/>
    </font>
    <font>
      <sz val="14"/>
      <color theme="3"/>
      <name val="Calibri"/>
      <family val="2"/>
    </font>
    <font>
      <sz val="11"/>
      <color theme="4"/>
      <name val="Calibri"/>
      <family val="2"/>
    </font>
    <font>
      <sz val="11"/>
      <name val="Calibri"/>
      <family val="2"/>
    </font>
    <font>
      <b/>
      <sz val="12"/>
      <color theme="1"/>
      <name val="Calibri"/>
      <family val="2"/>
    </font>
    <font>
      <i/>
      <sz val="9"/>
      <color theme="1"/>
      <name val="Calibri"/>
      <family val="2"/>
    </font>
    <font>
      <sz val="9"/>
      <color theme="1"/>
      <name val="Calibri"/>
      <family val="2"/>
    </font>
    <font>
      <b/>
      <sz val="9"/>
      <color theme="1"/>
      <name val="Calibri"/>
      <family val="2"/>
    </font>
    <font>
      <b/>
      <i/>
      <sz val="9"/>
      <color theme="1"/>
      <name val="Calibri"/>
      <family val="2"/>
    </font>
    <font>
      <b/>
      <sz val="9"/>
      <color rgb="FF000000"/>
      <name val="Arial"/>
      <family val="2"/>
    </font>
    <font>
      <b/>
      <sz val="9"/>
      <color theme="1"/>
      <name val="Arial"/>
      <family val="2"/>
    </font>
    <font>
      <i/>
      <sz val="9"/>
      <color theme="1"/>
      <name val="Arial"/>
      <family val="2"/>
    </font>
    <font>
      <sz val="8"/>
      <color theme="1"/>
      <name val="Arial"/>
      <family val="2"/>
    </font>
    <font>
      <sz val="9"/>
      <color theme="1"/>
      <name val="Arial"/>
      <family val="2"/>
    </font>
    <font>
      <i/>
      <sz val="8"/>
      <color theme="1"/>
      <name val="Arial"/>
      <family val="2"/>
    </font>
    <font>
      <b/>
      <sz val="11"/>
      <color theme="1"/>
      <name val="Arial"/>
      <family val="2"/>
    </font>
    <font>
      <b/>
      <i/>
      <sz val="9"/>
      <color theme="1"/>
      <name val="Arial"/>
      <family val="2"/>
    </font>
    <font>
      <b/>
      <i/>
      <sz val="9"/>
      <color rgb="FF000000"/>
      <name val="Arial"/>
      <family val="2"/>
    </font>
    <font>
      <sz val="8"/>
      <name val="Calibri"/>
      <family val="2"/>
    </font>
    <font>
      <sz val="10"/>
      <color theme="1"/>
      <name val="Calibri"/>
      <family val="2"/>
    </font>
    <font>
      <u/>
      <sz val="18"/>
      <color theme="10"/>
      <name val="Calibri"/>
      <family val="2"/>
    </font>
    <font>
      <sz val="18"/>
      <color theme="1"/>
      <name val="Calibri"/>
      <family val="2"/>
    </font>
    <font>
      <b/>
      <sz val="14"/>
      <color theme="3"/>
      <name val="Calibri"/>
      <family val="2"/>
    </font>
    <font>
      <sz val="24"/>
      <color theme="1"/>
      <name val="Arial"/>
      <family val="2"/>
    </font>
    <font>
      <u/>
      <sz val="11"/>
      <color theme="1"/>
      <name val="Calibri"/>
      <family val="2"/>
    </font>
    <font>
      <u/>
      <sz val="11"/>
      <color theme="1"/>
      <name val="Arial"/>
      <family val="2"/>
    </font>
    <font>
      <sz val="11"/>
      <color theme="1"/>
      <name val="Arial"/>
      <family val="2"/>
    </font>
    <font>
      <b/>
      <sz val="8"/>
      <color theme="1"/>
      <name val="Arial"/>
      <family val="2"/>
    </font>
    <font>
      <i/>
      <sz val="11"/>
      <color theme="1"/>
      <name val="Arial"/>
      <family val="2"/>
    </font>
    <font>
      <b/>
      <sz val="8"/>
      <color theme="1"/>
      <name val="Arial Narrow"/>
      <family val="2"/>
    </font>
    <font>
      <b/>
      <sz val="14"/>
      <color theme="1"/>
      <name val="Calibri"/>
      <family val="2"/>
    </font>
    <font>
      <sz val="14"/>
      <color theme="1"/>
      <name val="Calibri"/>
      <family val="2"/>
    </font>
  </fonts>
  <fills count="10">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3" tint="0.89999084444715716"/>
        <bgColor indexed="64"/>
      </patternFill>
    </fill>
    <fill>
      <patternFill patternType="solid">
        <fgColor theme="0" tint="-4.9989318521683403E-2"/>
        <bgColor indexed="64"/>
      </patternFill>
    </fill>
    <fill>
      <patternFill patternType="solid">
        <fgColor theme="2"/>
        <bgColor indexed="64"/>
      </patternFill>
    </fill>
    <fill>
      <patternFill patternType="solid">
        <fgColor theme="4" tint="0.79998168889431442"/>
        <bgColor indexed="64"/>
      </patternFill>
    </fill>
    <fill>
      <patternFill patternType="solid">
        <fgColor rgb="FFEBEBEB"/>
        <bgColor indexed="64"/>
      </patternFill>
    </fill>
    <fill>
      <patternFill patternType="solid">
        <fgColor theme="5" tint="0.79998168889431442"/>
        <bgColor indexed="64"/>
      </patternFill>
    </fill>
  </fills>
  <borders count="37">
    <border>
      <left/>
      <right/>
      <top/>
      <bottom/>
      <diagonal/>
    </border>
    <border>
      <left/>
      <right/>
      <top style="thin">
        <color indexed="64"/>
      </top>
      <bottom style="dotted">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top style="thin">
        <color auto="1"/>
      </top>
      <bottom style="thin">
        <color auto="1"/>
      </bottom>
      <diagonal/>
    </border>
    <border>
      <left/>
      <right/>
      <top/>
      <bottom style="medium">
        <color indexed="64"/>
      </bottom>
      <diagonal/>
    </border>
    <border>
      <left/>
      <right/>
      <top style="medium">
        <color indexed="64"/>
      </top>
      <bottom style="dotted">
        <color indexed="64"/>
      </bottom>
      <diagonal/>
    </border>
    <border>
      <left/>
      <right/>
      <top style="dotted">
        <color indexed="64"/>
      </top>
      <bottom/>
      <diagonal/>
    </border>
    <border>
      <left/>
      <right/>
      <top/>
      <bottom style="dotted">
        <color indexed="64"/>
      </bottom>
      <diagonal/>
    </border>
    <border>
      <left/>
      <right/>
      <top/>
      <bottom style="thin">
        <color indexed="64"/>
      </bottom>
      <diagonal/>
    </border>
    <border>
      <left/>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style="thin">
        <color indexed="64"/>
      </top>
      <bottom style="medium">
        <color indexed="64"/>
      </bottom>
      <diagonal/>
    </border>
    <border>
      <left/>
      <right/>
      <top style="thin">
        <color indexed="64"/>
      </top>
      <bottom/>
      <diagonal/>
    </border>
    <border>
      <left style="medium">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s>
  <cellStyleXfs count="3">
    <xf numFmtId="0" fontId="0" fillId="0" borderId="0"/>
    <xf numFmtId="9" fontId="1" fillId="0" borderId="0" applyFont="0" applyFill="0" applyBorder="0" applyAlignment="0" applyProtection="0"/>
    <xf numFmtId="0" fontId="4" fillId="0" borderId="0" applyNumberFormat="0" applyFill="0" applyBorder="0" applyAlignment="0" applyProtection="0"/>
  </cellStyleXfs>
  <cellXfs count="224">
    <xf numFmtId="0" fontId="0" fillId="0" borderId="0" xfId="0"/>
    <xf numFmtId="0" fontId="5" fillId="0" borderId="0" xfId="0" applyFont="1"/>
    <xf numFmtId="0" fontId="2" fillId="0" borderId="0" xfId="0" applyFont="1"/>
    <xf numFmtId="0" fontId="6" fillId="0" borderId="0" xfId="0" applyFont="1"/>
    <xf numFmtId="0" fontId="7" fillId="0" borderId="0" xfId="0" applyFont="1"/>
    <xf numFmtId="0" fontId="8" fillId="0" borderId="0" xfId="2" applyFont="1"/>
    <xf numFmtId="0" fontId="9" fillId="0" borderId="0" xfId="0" applyFont="1"/>
    <xf numFmtId="0" fontId="10" fillId="0" borderId="0" xfId="0" applyFont="1"/>
    <xf numFmtId="0" fontId="2" fillId="0" borderId="1" xfId="0" applyFont="1" applyBorder="1" applyAlignment="1">
      <alignment horizontal="right"/>
    </xf>
    <xf numFmtId="0" fontId="2" fillId="0" borderId="2" xfId="0" applyFont="1" applyBorder="1" applyAlignment="1">
      <alignment horizontal="right"/>
    </xf>
    <xf numFmtId="0" fontId="0" fillId="0" borderId="2" xfId="0" applyBorder="1" applyAlignment="1">
      <alignment horizontal="left"/>
    </xf>
    <xf numFmtId="0" fontId="0" fillId="0" borderId="0" xfId="0" applyAlignment="1">
      <alignment horizontal="right"/>
    </xf>
    <xf numFmtId="0" fontId="2" fillId="0" borderId="3" xfId="0" applyFont="1" applyBorder="1" applyAlignment="1">
      <alignment horizontal="right"/>
    </xf>
    <xf numFmtId="0" fontId="2" fillId="0" borderId="0" xfId="0" applyFont="1" applyAlignment="1">
      <alignment horizontal="right"/>
    </xf>
    <xf numFmtId="0" fontId="2" fillId="0" borderId="4" xfId="0" applyFont="1" applyBorder="1" applyAlignment="1">
      <alignment horizontal="right"/>
    </xf>
    <xf numFmtId="0" fontId="2" fillId="0" borderId="5" xfId="0" applyFont="1" applyBorder="1" applyAlignment="1">
      <alignment horizontal="right"/>
    </xf>
    <xf numFmtId="0" fontId="2" fillId="0" borderId="6" xfId="0" applyFont="1" applyBorder="1" applyAlignment="1">
      <alignment horizontal="right"/>
    </xf>
    <xf numFmtId="9" fontId="1" fillId="3" borderId="2" xfId="1" applyFont="1" applyFill="1" applyBorder="1" applyAlignment="1" applyProtection="1">
      <alignment horizontal="center"/>
    </xf>
    <xf numFmtId="3" fontId="2" fillId="0" borderId="5" xfId="0" applyNumberFormat="1" applyFont="1" applyBorder="1" applyAlignment="1">
      <alignment horizontal="center"/>
    </xf>
    <xf numFmtId="0" fontId="2" fillId="0" borderId="5" xfId="0" applyFont="1" applyBorder="1" applyAlignment="1">
      <alignment horizontal="center"/>
    </xf>
    <xf numFmtId="2" fontId="0" fillId="0" borderId="6" xfId="0" applyNumberFormat="1" applyBorder="1" applyAlignment="1">
      <alignment horizontal="center"/>
    </xf>
    <xf numFmtId="2" fontId="0" fillId="0" borderId="2" xfId="0" applyNumberFormat="1" applyBorder="1" applyAlignment="1">
      <alignment horizontal="center"/>
    </xf>
    <xf numFmtId="0" fontId="0" fillId="4" borderId="0" xfId="0" applyFill="1"/>
    <xf numFmtId="0" fontId="7" fillId="4" borderId="1" xfId="0" applyFont="1" applyFill="1" applyBorder="1" applyProtection="1">
      <protection locked="0"/>
    </xf>
    <xf numFmtId="0" fontId="0" fillId="4" borderId="1" xfId="0" applyFill="1" applyBorder="1" applyAlignment="1" applyProtection="1">
      <alignment horizontal="left"/>
      <protection locked="0"/>
    </xf>
    <xf numFmtId="0" fontId="0" fillId="4" borderId="3" xfId="0" applyFill="1" applyBorder="1" applyAlignment="1" applyProtection="1">
      <alignment horizontal="left"/>
      <protection locked="0"/>
    </xf>
    <xf numFmtId="9" fontId="1" fillId="4" borderId="6" xfId="1" applyFont="1" applyFill="1" applyBorder="1" applyAlignment="1" applyProtection="1">
      <alignment horizontal="center"/>
      <protection locked="0"/>
    </xf>
    <xf numFmtId="0" fontId="0" fillId="0" borderId="2" xfId="0" applyBorder="1" applyAlignment="1">
      <alignment horizontal="center"/>
    </xf>
    <xf numFmtId="0" fontId="0" fillId="0" borderId="4" xfId="0" applyBorder="1" applyAlignment="1">
      <alignment horizontal="center"/>
    </xf>
    <xf numFmtId="0" fontId="3" fillId="0" borderId="0" xfId="0" applyFont="1"/>
    <xf numFmtId="0" fontId="12" fillId="0" borderId="0" xfId="0" applyFont="1"/>
    <xf numFmtId="164" fontId="0" fillId="4" borderId="1" xfId="0" applyNumberFormat="1" applyFill="1" applyBorder="1" applyAlignment="1" applyProtection="1">
      <alignment horizontal="left"/>
      <protection locked="0"/>
    </xf>
    <xf numFmtId="164" fontId="0" fillId="0" borderId="3" xfId="0" applyNumberFormat="1" applyBorder="1" applyAlignment="1">
      <alignment horizontal="left"/>
    </xf>
    <xf numFmtId="0" fontId="2" fillId="0" borderId="7" xfId="0" applyFont="1" applyBorder="1" applyAlignment="1">
      <alignment horizontal="right"/>
    </xf>
    <xf numFmtId="0" fontId="2" fillId="0" borderId="8" xfId="0" applyFont="1" applyBorder="1" applyAlignment="1">
      <alignment horizontal="right"/>
    </xf>
    <xf numFmtId="164" fontId="0" fillId="0" borderId="0" xfId="0" applyNumberFormat="1" applyAlignment="1">
      <alignment horizontal="left"/>
    </xf>
    <xf numFmtId="0" fontId="2" fillId="0" borderId="9" xfId="0" applyFont="1" applyBorder="1" applyAlignment="1">
      <alignment horizontal="right"/>
    </xf>
    <xf numFmtId="164" fontId="0" fillId="0" borderId="9" xfId="0" applyNumberFormat="1" applyBorder="1" applyAlignment="1">
      <alignment horizontal="left"/>
    </xf>
    <xf numFmtId="0" fontId="13" fillId="0" borderId="0" xfId="0" applyFont="1"/>
    <xf numFmtId="164" fontId="0" fillId="0" borderId="2" xfId="0" applyNumberFormat="1" applyBorder="1" applyAlignment="1">
      <alignment horizontal="left"/>
    </xf>
    <xf numFmtId="0" fontId="0" fillId="0" borderId="9" xfId="0" applyBorder="1"/>
    <xf numFmtId="9" fontId="1" fillId="0" borderId="6" xfId="1" applyFont="1" applyFill="1" applyBorder="1" applyAlignment="1" applyProtection="1">
      <alignment horizontal="center"/>
      <protection locked="0"/>
    </xf>
    <xf numFmtId="9" fontId="1" fillId="3" borderId="3" xfId="1" applyFont="1" applyFill="1" applyBorder="1" applyAlignment="1" applyProtection="1">
      <alignment horizontal="center"/>
    </xf>
    <xf numFmtId="2" fontId="0" fillId="0" borderId="3" xfId="0" applyNumberFormat="1" applyBorder="1" applyAlignment="1">
      <alignment horizontal="center"/>
    </xf>
    <xf numFmtId="0" fontId="0" fillId="0" borderId="3" xfId="0" applyBorder="1" applyAlignment="1">
      <alignment horizontal="center"/>
    </xf>
    <xf numFmtId="0" fontId="2" fillId="0" borderId="10" xfId="0" applyFont="1" applyBorder="1" applyAlignment="1">
      <alignment horizontal="right"/>
    </xf>
    <xf numFmtId="0" fontId="0" fillId="0" borderId="10" xfId="0" applyBorder="1" applyAlignment="1">
      <alignment horizontal="center"/>
    </xf>
    <xf numFmtId="0" fontId="12" fillId="5" borderId="0" xfId="0" applyFont="1" applyFill="1" applyAlignment="1">
      <alignment horizontal="right"/>
    </xf>
    <xf numFmtId="0" fontId="0" fillId="0" borderId="0" xfId="0" applyAlignment="1">
      <alignment horizontal="center"/>
    </xf>
    <xf numFmtId="4" fontId="0" fillId="0" borderId="0" xfId="0" applyNumberFormat="1" applyAlignment="1">
      <alignment horizontal="center"/>
    </xf>
    <xf numFmtId="9" fontId="14" fillId="0" borderId="6" xfId="1" applyFont="1" applyFill="1" applyBorder="1" applyAlignment="1" applyProtection="1">
      <alignment horizontal="center"/>
      <protection locked="0"/>
    </xf>
    <xf numFmtId="0" fontId="15" fillId="0" borderId="11" xfId="0" applyFont="1" applyBorder="1" applyAlignment="1">
      <alignment horizontal="right"/>
    </xf>
    <xf numFmtId="3" fontId="15" fillId="0" borderId="12" xfId="0" applyNumberFormat="1" applyFont="1" applyBorder="1" applyAlignment="1">
      <alignment horizontal="center"/>
    </xf>
    <xf numFmtId="0" fontId="15" fillId="0" borderId="12" xfId="0" applyFont="1" applyBorder="1" applyAlignment="1">
      <alignment horizontal="center"/>
    </xf>
    <xf numFmtId="0" fontId="15" fillId="0" borderId="13" xfId="0" applyFont="1" applyBorder="1" applyAlignment="1">
      <alignment horizontal="center"/>
    </xf>
    <xf numFmtId="0" fontId="15" fillId="0" borderId="14" xfId="0" applyFont="1" applyBorder="1" applyAlignment="1">
      <alignment horizontal="right"/>
    </xf>
    <xf numFmtId="9" fontId="14" fillId="0" borderId="15" xfId="1" applyFont="1" applyFill="1" applyBorder="1" applyAlignment="1" applyProtection="1">
      <alignment horizontal="center"/>
      <protection locked="0"/>
    </xf>
    <xf numFmtId="0" fontId="15" fillId="0" borderId="16" xfId="0" applyFont="1" applyBorder="1" applyAlignment="1">
      <alignment horizontal="right"/>
    </xf>
    <xf numFmtId="9" fontId="14" fillId="3" borderId="3" xfId="1" applyFont="1" applyFill="1" applyBorder="1" applyAlignment="1" applyProtection="1">
      <alignment horizontal="center"/>
    </xf>
    <xf numFmtId="9" fontId="14" fillId="3" borderId="17" xfId="1" applyFont="1" applyFill="1" applyBorder="1" applyAlignment="1" applyProtection="1">
      <alignment horizontal="center"/>
    </xf>
    <xf numFmtId="2" fontId="14" fillId="0" borderId="3" xfId="0" applyNumberFormat="1" applyFont="1" applyBorder="1" applyAlignment="1">
      <alignment horizontal="center"/>
    </xf>
    <xf numFmtId="2" fontId="14" fillId="0" borderId="17" xfId="0" applyNumberFormat="1" applyFont="1" applyBorder="1" applyAlignment="1">
      <alignment horizontal="center"/>
    </xf>
    <xf numFmtId="0" fontId="15" fillId="0" borderId="18" xfId="0" applyFont="1" applyBorder="1" applyAlignment="1">
      <alignment horizontal="right"/>
    </xf>
    <xf numFmtId="0" fontId="14" fillId="0" borderId="10" xfId="0" applyFont="1" applyBorder="1" applyAlignment="1">
      <alignment horizontal="center"/>
    </xf>
    <xf numFmtId="0" fontId="14" fillId="0" borderId="19" xfId="0" applyFont="1" applyBorder="1" applyAlignment="1">
      <alignment horizontal="center"/>
    </xf>
    <xf numFmtId="0" fontId="16" fillId="6" borderId="0" xfId="0" applyFont="1" applyFill="1" applyAlignment="1">
      <alignment horizontal="right"/>
    </xf>
    <xf numFmtId="4" fontId="0" fillId="6" borderId="0" xfId="0" applyNumberFormat="1" applyFill="1" applyAlignment="1">
      <alignment horizontal="center"/>
    </xf>
    <xf numFmtId="4" fontId="0" fillId="0" borderId="5" xfId="0" applyNumberFormat="1" applyBorder="1" applyAlignment="1">
      <alignment horizontal="center"/>
    </xf>
    <xf numFmtId="0" fontId="13" fillId="5" borderId="0" xfId="0" applyFont="1" applyFill="1" applyAlignment="1">
      <alignment horizontal="center"/>
    </xf>
    <xf numFmtId="0" fontId="2" fillId="7" borderId="0" xfId="0" applyFont="1" applyFill="1"/>
    <xf numFmtId="0" fontId="14" fillId="0" borderId="0" xfId="0" applyFont="1"/>
    <xf numFmtId="0" fontId="14" fillId="0" borderId="0" xfId="0" applyFont="1" applyAlignment="1">
      <alignment horizontal="center"/>
    </xf>
    <xf numFmtId="0" fontId="17" fillId="8" borderId="20" xfId="0" applyFont="1" applyFill="1" applyBorder="1" applyAlignment="1">
      <alignment horizontal="left" vertical="center" wrapText="1"/>
    </xf>
    <xf numFmtId="0" fontId="17" fillId="8" borderId="21" xfId="0" applyFont="1" applyFill="1" applyBorder="1" applyAlignment="1">
      <alignment horizontal="center" vertical="center" wrapText="1"/>
    </xf>
    <xf numFmtId="0" fontId="18" fillId="0" borderId="22" xfId="0" applyFont="1" applyBorder="1" applyAlignment="1">
      <alignment vertical="top" wrapText="1"/>
    </xf>
    <xf numFmtId="4" fontId="20" fillId="0" borderId="22" xfId="0" applyNumberFormat="1" applyFont="1" applyBorder="1" applyAlignment="1">
      <alignment horizontal="left" vertical="center" wrapText="1"/>
    </xf>
    <xf numFmtId="0" fontId="20" fillId="0" borderId="23" xfId="0" applyFont="1" applyBorder="1" applyAlignment="1">
      <alignment vertical="top" wrapText="1"/>
    </xf>
    <xf numFmtId="164" fontId="18" fillId="0" borderId="23" xfId="0" applyNumberFormat="1" applyFont="1" applyBorder="1" applyAlignment="1">
      <alignment horizontal="left" vertical="center" wrapText="1"/>
    </xf>
    <xf numFmtId="0" fontId="14" fillId="0" borderId="22" xfId="0" applyFont="1" applyBorder="1" applyAlignment="1">
      <alignment wrapText="1"/>
    </xf>
    <xf numFmtId="0" fontId="20" fillId="0" borderId="22" xfId="0" applyFont="1" applyBorder="1" applyAlignment="1">
      <alignment vertical="center" wrapText="1"/>
    </xf>
    <xf numFmtId="164" fontId="14" fillId="0" borderId="0" xfId="0" applyNumberFormat="1" applyFont="1"/>
    <xf numFmtId="164" fontId="14" fillId="0" borderId="0" xfId="0" applyNumberFormat="1" applyFont="1" applyAlignment="1">
      <alignment horizontal="center"/>
    </xf>
    <xf numFmtId="0" fontId="18" fillId="0" borderId="25" xfId="0" applyFont="1" applyBorder="1" applyAlignment="1">
      <alignment horizontal="left" vertical="center" wrapText="1"/>
    </xf>
    <xf numFmtId="0" fontId="19" fillId="0" borderId="25" xfId="0" applyFont="1" applyBorder="1" applyAlignment="1">
      <alignment horizontal="left" vertical="center" wrapText="1" indent="9"/>
    </xf>
    <xf numFmtId="0" fontId="21" fillId="0" borderId="22" xfId="0" applyFont="1" applyBorder="1" applyAlignment="1">
      <alignment vertical="center" wrapText="1"/>
    </xf>
    <xf numFmtId="0" fontId="22" fillId="0" borderId="22" xfId="0" applyFont="1" applyBorder="1" applyAlignment="1">
      <alignment horizontal="center" vertical="center" wrapText="1"/>
    </xf>
    <xf numFmtId="0" fontId="23" fillId="0" borderId="26" xfId="0" applyFont="1" applyBorder="1" applyAlignment="1">
      <alignment horizontal="left" vertical="center" wrapText="1"/>
    </xf>
    <xf numFmtId="0" fontId="24" fillId="0" borderId="4" xfId="0" applyFont="1" applyBorder="1" applyAlignment="1">
      <alignment horizontal="left" vertical="center" wrapText="1" indent="9"/>
    </xf>
    <xf numFmtId="0" fontId="17" fillId="8" borderId="25" xfId="0" applyFont="1" applyFill="1" applyBorder="1" applyAlignment="1">
      <alignment horizontal="left" vertical="center" wrapText="1"/>
    </xf>
    <xf numFmtId="0" fontId="24" fillId="8" borderId="25" xfId="0" applyFont="1" applyFill="1" applyBorder="1" applyAlignment="1">
      <alignment horizontal="left" vertical="center" wrapText="1" indent="9"/>
    </xf>
    <xf numFmtId="0" fontId="24" fillId="0" borderId="25" xfId="0" applyFont="1" applyBorder="1" applyAlignment="1">
      <alignment horizontal="left" vertical="center" wrapText="1" indent="9"/>
    </xf>
    <xf numFmtId="0" fontId="21" fillId="0" borderId="25" xfId="0" applyFont="1" applyBorder="1" applyAlignment="1">
      <alignment horizontal="left" vertical="center" wrapText="1"/>
    </xf>
    <xf numFmtId="0" fontId="22" fillId="0" borderId="25" xfId="0" applyFont="1" applyBorder="1" applyAlignment="1">
      <alignment horizontal="center" vertical="center" wrapText="1"/>
    </xf>
    <xf numFmtId="0" fontId="25" fillId="8" borderId="25" xfId="0" applyFont="1" applyFill="1" applyBorder="1" applyAlignment="1">
      <alignment horizontal="left" vertical="center" wrapText="1"/>
    </xf>
    <xf numFmtId="164" fontId="24" fillId="8" borderId="25" xfId="0" applyNumberFormat="1" applyFont="1" applyFill="1" applyBorder="1" applyAlignment="1">
      <alignment horizontal="left" vertical="center" wrapText="1"/>
    </xf>
    <xf numFmtId="164" fontId="0" fillId="0" borderId="1" xfId="1" applyNumberFormat="1" applyFont="1" applyFill="1" applyBorder="1" applyAlignment="1">
      <alignment horizontal="center"/>
    </xf>
    <xf numFmtId="164" fontId="0" fillId="0" borderId="3" xfId="1" applyNumberFormat="1" applyFont="1" applyFill="1" applyBorder="1" applyAlignment="1">
      <alignment horizontal="center"/>
    </xf>
    <xf numFmtId="164" fontId="0" fillId="0" borderId="2" xfId="1" applyNumberFormat="1" applyFont="1" applyFill="1" applyBorder="1" applyAlignment="1">
      <alignment horizontal="center"/>
    </xf>
    <xf numFmtId="164" fontId="0" fillId="0" borderId="2" xfId="1" applyNumberFormat="1" applyFont="1" applyFill="1" applyBorder="1" applyAlignment="1">
      <alignment horizontal="left"/>
    </xf>
    <xf numFmtId="164" fontId="0" fillId="0" borderId="7" xfId="1" applyNumberFormat="1" applyFont="1" applyFill="1" applyBorder="1" applyAlignment="1">
      <alignment horizontal="left"/>
    </xf>
    <xf numFmtId="164" fontId="0" fillId="0" borderId="4" xfId="0" applyNumberFormat="1" applyBorder="1"/>
    <xf numFmtId="0" fontId="0" fillId="0" borderId="5" xfId="0" applyBorder="1"/>
    <xf numFmtId="4" fontId="0" fillId="0" borderId="6" xfId="0" applyNumberFormat="1" applyBorder="1" applyAlignment="1">
      <alignment horizontal="center"/>
    </xf>
    <xf numFmtId="4" fontId="0" fillId="0" borderId="8" xfId="0" applyNumberFormat="1" applyBorder="1" applyAlignment="1">
      <alignment horizontal="center"/>
    </xf>
    <xf numFmtId="0" fontId="16" fillId="6" borderId="28" xfId="0" applyFont="1" applyFill="1" applyBorder="1" applyAlignment="1">
      <alignment horizontal="right"/>
    </xf>
    <xf numFmtId="0" fontId="13" fillId="5" borderId="28" xfId="0" applyFont="1" applyFill="1" applyBorder="1" applyAlignment="1">
      <alignment horizontal="center"/>
    </xf>
    <xf numFmtId="4" fontId="0" fillId="0" borderId="9" xfId="0" applyNumberFormat="1" applyBorder="1" applyAlignment="1">
      <alignment horizontal="center"/>
    </xf>
    <xf numFmtId="0" fontId="2" fillId="0" borderId="29" xfId="0" applyFont="1" applyBorder="1" applyAlignment="1">
      <alignment horizontal="right"/>
    </xf>
    <xf numFmtId="4" fontId="0" fillId="0" borderId="29" xfId="0" applyNumberFormat="1" applyBorder="1" applyAlignment="1">
      <alignment horizontal="center"/>
    </xf>
    <xf numFmtId="0" fontId="15" fillId="0" borderId="0" xfId="0" applyFont="1" applyAlignment="1">
      <alignment horizontal="right"/>
    </xf>
    <xf numFmtId="4" fontId="14" fillId="0" borderId="0" xfId="0" applyNumberFormat="1" applyFont="1" applyAlignment="1">
      <alignment horizontal="center"/>
    </xf>
    <xf numFmtId="4" fontId="0" fillId="0" borderId="2" xfId="0" applyNumberFormat="1" applyBorder="1" applyAlignment="1">
      <alignment horizontal="center"/>
    </xf>
    <xf numFmtId="4" fontId="0" fillId="0" borderId="7" xfId="0" applyNumberFormat="1" applyBorder="1" applyAlignment="1">
      <alignment horizontal="center"/>
    </xf>
    <xf numFmtId="4" fontId="0" fillId="0" borderId="3" xfId="0" applyNumberFormat="1" applyBorder="1" applyAlignment="1">
      <alignment horizontal="center"/>
    </xf>
    <xf numFmtId="0" fontId="15" fillId="0" borderId="0" xfId="0" applyFont="1" applyAlignment="1">
      <alignment horizontal="left"/>
    </xf>
    <xf numFmtId="164" fontId="0" fillId="0" borderId="0" xfId="0" applyNumberFormat="1"/>
    <xf numFmtId="0" fontId="27" fillId="0" borderId="0" xfId="0" applyFont="1"/>
    <xf numFmtId="0" fontId="27" fillId="0" borderId="0" xfId="0" applyFont="1" applyAlignment="1">
      <alignment horizontal="center"/>
    </xf>
    <xf numFmtId="0" fontId="28" fillId="0" borderId="0" xfId="2" applyFont="1"/>
    <xf numFmtId="0" fontId="29" fillId="0" borderId="0" xfId="0" applyFont="1"/>
    <xf numFmtId="0" fontId="30" fillId="0" borderId="0" xfId="0" applyFont="1"/>
    <xf numFmtId="0" fontId="9" fillId="4" borderId="0" xfId="0" applyFont="1" applyFill="1"/>
    <xf numFmtId="3" fontId="11" fillId="0" borderId="4" xfId="0" applyNumberFormat="1" applyFont="1" applyBorder="1" applyAlignment="1">
      <alignment horizontal="left"/>
    </xf>
    <xf numFmtId="3" fontId="0" fillId="2" borderId="0" xfId="0" applyNumberFormat="1" applyFill="1" applyAlignment="1" applyProtection="1">
      <alignment horizontal="left"/>
      <protection locked="0"/>
    </xf>
    <xf numFmtId="0" fontId="10" fillId="2" borderId="0" xfId="0" applyFont="1" applyFill="1"/>
    <xf numFmtId="0" fontId="0" fillId="0" borderId="0" xfId="0" applyProtection="1">
      <protection locked="0"/>
    </xf>
    <xf numFmtId="0" fontId="0" fillId="4" borderId="6" xfId="0" applyFill="1" applyBorder="1" applyAlignment="1" applyProtection="1">
      <alignment horizontal="center"/>
      <protection locked="0"/>
    </xf>
    <xf numFmtId="0" fontId="0" fillId="4" borderId="3" xfId="0" applyFill="1" applyBorder="1" applyAlignment="1" applyProtection="1">
      <alignment horizontal="center"/>
      <protection locked="0"/>
    </xf>
    <xf numFmtId="164" fontId="0" fillId="4" borderId="2" xfId="0" applyNumberFormat="1" applyFill="1" applyBorder="1" applyAlignment="1" applyProtection="1">
      <alignment horizontal="left"/>
      <protection locked="0"/>
    </xf>
    <xf numFmtId="165" fontId="0" fillId="4" borderId="8" xfId="1" applyNumberFormat="1" applyFont="1" applyFill="1" applyBorder="1" applyAlignment="1" applyProtection="1">
      <alignment horizontal="left"/>
      <protection locked="0"/>
    </xf>
    <xf numFmtId="164" fontId="0" fillId="4" borderId="8" xfId="1" applyNumberFormat="1" applyFont="1" applyFill="1" applyBorder="1" applyAlignment="1" applyProtection="1">
      <alignment horizontal="left"/>
      <protection locked="0"/>
    </xf>
    <xf numFmtId="10" fontId="0" fillId="4" borderId="0" xfId="0" applyNumberFormat="1" applyFill="1" applyAlignment="1" applyProtection="1">
      <alignment horizontal="left"/>
      <protection locked="0"/>
    </xf>
    <xf numFmtId="164" fontId="0" fillId="4" borderId="3" xfId="1" applyNumberFormat="1" applyFont="1" applyFill="1" applyBorder="1" applyAlignment="1" applyProtection="1">
      <alignment horizontal="left"/>
      <protection locked="0"/>
    </xf>
    <xf numFmtId="0" fontId="0" fillId="4" borderId="7" xfId="0" applyFill="1" applyBorder="1" applyAlignment="1" applyProtection="1">
      <alignment horizontal="left"/>
      <protection locked="0"/>
    </xf>
    <xf numFmtId="164" fontId="0" fillId="4" borderId="1" xfId="1" applyNumberFormat="1" applyFont="1" applyFill="1" applyBorder="1" applyAlignment="1" applyProtection="1">
      <alignment horizontal="left"/>
      <protection locked="0"/>
    </xf>
    <xf numFmtId="164" fontId="0" fillId="2" borderId="7" xfId="1" applyNumberFormat="1" applyFont="1" applyFill="1" applyBorder="1" applyAlignment="1" applyProtection="1">
      <alignment horizontal="center"/>
      <protection locked="0"/>
    </xf>
    <xf numFmtId="164" fontId="0" fillId="4" borderId="3" xfId="0" applyNumberFormat="1" applyFill="1" applyBorder="1" applyAlignment="1" applyProtection="1">
      <alignment horizontal="left"/>
      <protection locked="0"/>
    </xf>
    <xf numFmtId="164" fontId="0" fillId="4" borderId="4" xfId="1" applyNumberFormat="1" applyFont="1" applyFill="1" applyBorder="1" applyAlignment="1" applyProtection="1">
      <alignment horizontal="left"/>
      <protection locked="0"/>
    </xf>
    <xf numFmtId="0" fontId="0" fillId="4" borderId="1" xfId="0" applyFill="1" applyBorder="1" applyAlignment="1" applyProtection="1">
      <alignment horizontal="center"/>
      <protection locked="0"/>
    </xf>
    <xf numFmtId="0" fontId="0" fillId="4" borderId="0" xfId="0" applyFill="1" applyAlignment="1" applyProtection="1">
      <alignment horizontal="center"/>
      <protection locked="0"/>
    </xf>
    <xf numFmtId="0" fontId="0" fillId="0" borderId="1" xfId="0" applyBorder="1" applyAlignment="1">
      <alignment horizontal="left"/>
    </xf>
    <xf numFmtId="0" fontId="14" fillId="4" borderId="0" xfId="0" applyFont="1" applyFill="1" applyAlignment="1" applyProtection="1">
      <alignment horizontal="left"/>
      <protection locked="0"/>
    </xf>
    <xf numFmtId="0" fontId="0" fillId="0" borderId="0" xfId="0" applyAlignment="1">
      <alignment vertical="top"/>
    </xf>
    <xf numFmtId="0" fontId="33" fillId="0" borderId="0" xfId="0" applyFont="1" applyAlignment="1">
      <alignment horizontal="left" vertical="center"/>
    </xf>
    <xf numFmtId="0" fontId="17" fillId="6" borderId="31" xfId="0" applyFont="1" applyFill="1" applyBorder="1" applyAlignment="1">
      <alignment horizontal="left" vertical="center" wrapText="1"/>
    </xf>
    <xf numFmtId="0" fontId="0" fillId="0" borderId="1" xfId="0" applyBorder="1" applyAlignment="1">
      <alignment horizontal="right"/>
    </xf>
    <xf numFmtId="0" fontId="0" fillId="0" borderId="2" xfId="0" applyBorder="1" applyAlignment="1">
      <alignment horizontal="right"/>
    </xf>
    <xf numFmtId="164" fontId="0" fillId="4" borderId="1" xfId="0" applyNumberFormat="1" applyFill="1" applyBorder="1" applyProtection="1">
      <protection locked="0"/>
    </xf>
    <xf numFmtId="164" fontId="0" fillId="4" borderId="2" xfId="0" applyNumberFormat="1" applyFill="1" applyBorder="1" applyProtection="1">
      <protection locked="0"/>
    </xf>
    <xf numFmtId="49" fontId="0" fillId="0" borderId="0" xfId="0" applyNumberFormat="1" applyAlignment="1">
      <alignment vertical="top" wrapText="1"/>
    </xf>
    <xf numFmtId="0" fontId="0" fillId="0" borderId="0" xfId="0" applyAlignment="1">
      <alignment vertical="top" wrapText="1"/>
    </xf>
    <xf numFmtId="0" fontId="33" fillId="0" borderId="0" xfId="0" applyFont="1" applyAlignment="1">
      <alignment vertical="center"/>
    </xf>
    <xf numFmtId="0" fontId="34" fillId="0" borderId="0" xfId="0" applyFont="1"/>
    <xf numFmtId="0" fontId="34" fillId="0" borderId="0" xfId="0" applyFont="1" applyAlignment="1">
      <alignment vertical="top"/>
    </xf>
    <xf numFmtId="0" fontId="21" fillId="0" borderId="32" xfId="0" applyFont="1" applyBorder="1" applyAlignment="1">
      <alignment vertical="top"/>
    </xf>
    <xf numFmtId="0" fontId="18" fillId="0" borderId="25" xfId="0" applyFont="1" applyBorder="1" applyAlignment="1">
      <alignment vertical="top"/>
    </xf>
    <xf numFmtId="0" fontId="21" fillId="6" borderId="0" xfId="0" applyFont="1" applyFill="1" applyAlignment="1">
      <alignment vertical="top"/>
    </xf>
    <xf numFmtId="164" fontId="18" fillId="0" borderId="25" xfId="0" applyNumberFormat="1" applyFont="1" applyBorder="1" applyAlignment="1">
      <alignment horizontal="left" vertical="top"/>
    </xf>
    <xf numFmtId="0" fontId="23" fillId="6" borderId="33" xfId="0" applyFont="1" applyFill="1" applyBorder="1" applyAlignment="1">
      <alignment vertical="top"/>
    </xf>
    <xf numFmtId="0" fontId="23" fillId="6" borderId="34" xfId="0" applyFont="1" applyFill="1" applyBorder="1" applyAlignment="1">
      <alignment vertical="top"/>
    </xf>
    <xf numFmtId="0" fontId="23" fillId="6" borderId="35" xfId="0" applyFont="1" applyFill="1" applyBorder="1" applyAlignment="1">
      <alignment vertical="top"/>
    </xf>
    <xf numFmtId="0" fontId="23" fillId="6" borderId="32" xfId="0" applyFont="1" applyFill="1" applyBorder="1" applyAlignment="1">
      <alignment vertical="top"/>
    </xf>
    <xf numFmtId="0" fontId="36" fillId="0" borderId="0" xfId="0" applyFont="1" applyAlignment="1">
      <alignment horizontal="justify" vertical="center"/>
    </xf>
    <xf numFmtId="0" fontId="36" fillId="0" borderId="0" xfId="0" applyFont="1" applyAlignment="1">
      <alignment horizontal="left" vertical="center"/>
    </xf>
    <xf numFmtId="166" fontId="0" fillId="0" borderId="1" xfId="0" applyNumberFormat="1" applyBorder="1" applyAlignment="1">
      <alignment horizontal="center"/>
    </xf>
    <xf numFmtId="166" fontId="0" fillId="0" borderId="2" xfId="0" applyNumberFormat="1" applyBorder="1" applyAlignment="1">
      <alignment horizontal="center"/>
    </xf>
    <xf numFmtId="0" fontId="2" fillId="9" borderId="1" xfId="0" applyFont="1" applyFill="1" applyBorder="1" applyAlignment="1">
      <alignment horizontal="right"/>
    </xf>
    <xf numFmtId="2" fontId="2" fillId="9" borderId="1" xfId="0" applyNumberFormat="1" applyFont="1" applyFill="1" applyBorder="1" applyAlignment="1">
      <alignment horizontal="center"/>
    </xf>
    <xf numFmtId="0" fontId="2" fillId="9" borderId="3" xfId="0" applyFont="1" applyFill="1" applyBorder="1" applyAlignment="1">
      <alignment horizontal="right"/>
    </xf>
    <xf numFmtId="2" fontId="2" fillId="9" borderId="3" xfId="0" applyNumberFormat="1" applyFont="1" applyFill="1" applyBorder="1" applyAlignment="1">
      <alignment horizontal="center"/>
    </xf>
    <xf numFmtId="0" fontId="2" fillId="9" borderId="2" xfId="0" applyFont="1" applyFill="1" applyBorder="1" applyAlignment="1">
      <alignment horizontal="right"/>
    </xf>
    <xf numFmtId="2" fontId="2" fillId="9" borderId="2" xfId="0" applyNumberFormat="1" applyFont="1" applyFill="1" applyBorder="1" applyAlignment="1">
      <alignment horizontal="center"/>
    </xf>
    <xf numFmtId="164" fontId="18" fillId="0" borderId="26" xfId="0" applyNumberFormat="1" applyFont="1" applyBorder="1" applyAlignment="1">
      <alignment horizontal="left" vertical="top"/>
    </xf>
    <xf numFmtId="0" fontId="33" fillId="0" borderId="0" xfId="0" applyFont="1" applyAlignment="1">
      <alignment vertical="top"/>
    </xf>
    <xf numFmtId="0" fontId="38" fillId="0" borderId="0" xfId="0" applyFont="1" applyAlignment="1">
      <alignment horizontal="right"/>
    </xf>
    <xf numFmtId="0" fontId="38" fillId="7" borderId="0" xfId="0" applyFont="1" applyFill="1" applyProtection="1">
      <protection locked="0"/>
    </xf>
    <xf numFmtId="0" fontId="39" fillId="0" borderId="0" xfId="0" applyFont="1"/>
    <xf numFmtId="0" fontId="0" fillId="4" borderId="0" xfId="0" applyFill="1" applyAlignment="1" applyProtection="1">
      <alignment horizontal="left"/>
      <protection locked="0"/>
    </xf>
    <xf numFmtId="0" fontId="18" fillId="0" borderId="26" xfId="0" applyFont="1" applyBorder="1" applyAlignment="1">
      <alignment horizontal="left" vertical="top"/>
    </xf>
    <xf numFmtId="0" fontId="18" fillId="0" borderId="27" xfId="0" applyFont="1" applyBorder="1" applyAlignment="1">
      <alignment horizontal="left" vertical="top"/>
    </xf>
    <xf numFmtId="164" fontId="18" fillId="0" borderId="22" xfId="0" applyNumberFormat="1" applyFont="1" applyBorder="1" applyAlignment="1">
      <alignment horizontal="left" vertical="center"/>
    </xf>
    <xf numFmtId="164" fontId="18" fillId="0" borderId="23" xfId="0" applyNumberFormat="1" applyFont="1" applyBorder="1" applyAlignment="1">
      <alignment horizontal="left" vertical="center"/>
    </xf>
    <xf numFmtId="0" fontId="21" fillId="0" borderId="30" xfId="0" applyFont="1" applyBorder="1" applyAlignment="1">
      <alignment horizontal="left" vertical="top" wrapText="1"/>
    </xf>
    <xf numFmtId="0" fontId="21" fillId="0" borderId="0" xfId="0" applyFont="1" applyAlignment="1">
      <alignment horizontal="left" vertical="top" wrapText="1"/>
    </xf>
    <xf numFmtId="0" fontId="18" fillId="0" borderId="4" xfId="0" applyFont="1" applyBorder="1" applyAlignment="1">
      <alignment horizontal="left" vertical="top"/>
    </xf>
    <xf numFmtId="0" fontId="35" fillId="0" borderId="25" xfId="0" applyFont="1" applyBorder="1" applyAlignment="1">
      <alignment horizontal="left" vertical="center" wrapText="1"/>
    </xf>
    <xf numFmtId="0" fontId="18" fillId="0" borderId="25" xfId="0" applyFont="1" applyBorder="1" applyAlignment="1">
      <alignment horizontal="center" vertical="center" wrapText="1"/>
    </xf>
    <xf numFmtId="164" fontId="18" fillId="0" borderId="33" xfId="0" applyNumberFormat="1" applyFont="1" applyBorder="1" applyAlignment="1">
      <alignment horizontal="left" vertical="center"/>
    </xf>
    <xf numFmtId="164" fontId="18" fillId="0" borderId="24" xfId="0" applyNumberFormat="1" applyFont="1" applyBorder="1" applyAlignment="1">
      <alignment horizontal="left" vertical="center"/>
    </xf>
    <xf numFmtId="164" fontId="18" fillId="0" borderId="22" xfId="0" applyNumberFormat="1" applyFont="1" applyBorder="1" applyAlignment="1">
      <alignment horizontal="left" vertical="center" wrapText="1"/>
    </xf>
    <xf numFmtId="164" fontId="18" fillId="0" borderId="36" xfId="0" applyNumberFormat="1" applyFont="1" applyBorder="1" applyAlignment="1">
      <alignment horizontal="left" vertical="center" wrapText="1"/>
    </xf>
    <xf numFmtId="164" fontId="18" fillId="0" borderId="35" xfId="0" applyNumberFormat="1" applyFont="1" applyBorder="1" applyAlignment="1">
      <alignment horizontal="left" vertical="center" wrapText="1"/>
    </xf>
    <xf numFmtId="0" fontId="35" fillId="0" borderId="22" xfId="0" applyFont="1" applyBorder="1" applyAlignment="1">
      <alignment horizontal="left" vertical="top" wrapText="1"/>
    </xf>
    <xf numFmtId="0" fontId="35" fillId="0" borderId="24" xfId="0" applyFont="1" applyBorder="1" applyAlignment="1">
      <alignment horizontal="left" vertical="top" wrapText="1"/>
    </xf>
    <xf numFmtId="0" fontId="35" fillId="0" borderId="23" xfId="0" applyFont="1" applyBorder="1" applyAlignment="1">
      <alignment horizontal="left" vertical="top" wrapText="1"/>
    </xf>
    <xf numFmtId="0" fontId="34" fillId="0" borderId="22" xfId="0" applyFont="1" applyBorder="1" applyAlignment="1">
      <alignment horizontal="center" vertical="center"/>
    </xf>
    <xf numFmtId="0" fontId="34" fillId="0" borderId="24" xfId="0" applyFont="1" applyBorder="1" applyAlignment="1">
      <alignment horizontal="center" vertical="center"/>
    </xf>
    <xf numFmtId="0" fontId="34" fillId="0" borderId="23" xfId="0" applyFont="1" applyBorder="1" applyAlignment="1">
      <alignment horizontal="center" vertical="center"/>
    </xf>
    <xf numFmtId="164" fontId="18" fillId="0" borderId="36" xfId="0" applyNumberFormat="1" applyFont="1" applyBorder="1" applyAlignment="1">
      <alignment horizontal="left" vertical="center"/>
    </xf>
    <xf numFmtId="164" fontId="18" fillId="0" borderId="35" xfId="0" applyNumberFormat="1" applyFont="1" applyBorder="1" applyAlignment="1">
      <alignment horizontal="left" vertical="center"/>
    </xf>
    <xf numFmtId="0" fontId="34" fillId="0" borderId="0" xfId="0" applyFont="1" applyAlignment="1">
      <alignment horizontal="left" vertical="top" wrapText="1"/>
    </xf>
    <xf numFmtId="0" fontId="2" fillId="0" borderId="33" xfId="0" applyFont="1" applyBorder="1" applyAlignment="1">
      <alignment horizontal="center" vertical="center"/>
    </xf>
    <xf numFmtId="0" fontId="2" fillId="0" borderId="30"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9" xfId="0" applyFont="1" applyBorder="1" applyAlignment="1">
      <alignment horizontal="center" vertical="center"/>
    </xf>
    <xf numFmtId="0" fontId="2" fillId="0" borderId="32" xfId="0" applyFont="1" applyBorder="1" applyAlignment="1">
      <alignment horizontal="center" vertical="center"/>
    </xf>
    <xf numFmtId="0" fontId="37" fillId="0" borderId="33"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35"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32" xfId="0" applyFont="1" applyBorder="1" applyAlignment="1">
      <alignment horizontal="center" vertical="center" wrapText="1"/>
    </xf>
    <xf numFmtId="0" fontId="31" fillId="0" borderId="0" xfId="0" applyFont="1" applyAlignment="1">
      <alignment horizontal="center" vertical="center" wrapText="1"/>
    </xf>
    <xf numFmtId="0" fontId="20" fillId="0" borderId="22" xfId="0" applyFont="1" applyBorder="1" applyAlignment="1">
      <alignment horizontal="left" vertical="center"/>
    </xf>
    <xf numFmtId="0" fontId="20" fillId="0" borderId="24" xfId="0" applyFont="1" applyBorder="1" applyAlignment="1">
      <alignment horizontal="left" vertical="center"/>
    </xf>
    <xf numFmtId="0" fontId="20" fillId="0" borderId="23" xfId="0" applyFont="1" applyBorder="1" applyAlignment="1">
      <alignment horizontal="left" vertical="center"/>
    </xf>
    <xf numFmtId="49" fontId="0" fillId="0" borderId="0" xfId="0" applyNumberFormat="1" applyAlignment="1">
      <alignment horizontal="left" vertical="top" wrapText="1"/>
    </xf>
    <xf numFmtId="0" fontId="33" fillId="0" borderId="0" xfId="0" applyFont="1" applyAlignment="1">
      <alignment horizontal="left" vertical="center"/>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9" fillId="0" borderId="22"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24" xfId="0" applyFont="1" applyBorder="1" applyAlignment="1">
      <alignment horizontal="center" vertical="center" wrapText="1"/>
    </xf>
  </cellXfs>
  <cellStyles count="3">
    <cellStyle name="Enllaç" xfId="2" builtinId="8"/>
    <cellStyle name="Normal" xfId="0" builtinId="0"/>
    <cellStyle name="Percentatge" xfId="1" builtinId="5"/>
  </cellStyles>
  <dxfs count="1">
    <dxf>
      <fill>
        <patternFill>
          <bgColor theme="4"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17/06/relationships/rdRichValueTypes" Target="richData/rdRichValueTyp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06/relationships/rdRichValueStructure" Target="richData/rdrichvaluestructure.xml"/><Relationship Id="rId2" Type="http://schemas.openxmlformats.org/officeDocument/2006/relationships/worksheet" Target="worksheets/sheet2.xml"/><Relationship Id="rId16" Type="http://schemas.microsoft.com/office/2017/06/relationships/rdRichValue" Target="richData/rdrichvalue.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0/relationships/richValueRel" Target="richData/richValueRel.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Dades inicials'!A1"/><Relationship Id="rId2" Type="http://schemas.openxmlformats.org/officeDocument/2006/relationships/hyperlink" Target="#Introducci&#243;!A1"/><Relationship Id="rId1" Type="http://schemas.openxmlformats.org/officeDocument/2006/relationships/image" Target="../media/image4.jpeg"/><Relationship Id="rId4"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hyperlink" Target="#'1. Dades instal&#183;laci&#243;'!A1"/></Relationships>
</file>

<file path=xl/drawings/_rels/drawing3.xml.rels><?xml version="1.0" encoding="UTF-8" standalone="yes"?>
<Relationships xmlns="http://schemas.openxmlformats.org/package/2006/relationships"><Relationship Id="rId2" Type="http://schemas.openxmlformats.org/officeDocument/2006/relationships/hyperlink" Target="#'2. Dades econ&#242;miques'!A1"/><Relationship Id="rId1" Type="http://schemas.openxmlformats.org/officeDocument/2006/relationships/hyperlink" Target="#Portada!A1"/></Relationships>
</file>

<file path=xl/drawings/_rels/drawing4.xml.rels><?xml version="1.0" encoding="UTF-8" standalone="yes"?>
<Relationships xmlns="http://schemas.openxmlformats.org/package/2006/relationships"><Relationship Id="rId3" Type="http://schemas.openxmlformats.org/officeDocument/2006/relationships/hyperlink" Target="#'3. Resultats Escenaris'!A1"/><Relationship Id="rId2" Type="http://schemas.openxmlformats.org/officeDocument/2006/relationships/hyperlink" Target="#Portada!A1"/><Relationship Id="rId1" Type="http://schemas.openxmlformats.org/officeDocument/2006/relationships/hyperlink" Target="#'1. Dades instal&#183;laci&#243;'!A1"/></Relationships>
</file>

<file path=xl/drawings/_rels/drawing5.xml.rels><?xml version="1.0" encoding="UTF-8" standalone="yes"?>
<Relationships xmlns="http://schemas.openxmlformats.org/package/2006/relationships"><Relationship Id="rId3" Type="http://schemas.openxmlformats.org/officeDocument/2006/relationships/hyperlink" Target="#'2. Dades econ&#242;miques'!A1"/><Relationship Id="rId2" Type="http://schemas.openxmlformats.org/officeDocument/2006/relationships/hyperlink" Target="#'4. Escull escenari'!A1"/><Relationship Id="rId1" Type="http://schemas.openxmlformats.org/officeDocument/2006/relationships/hyperlink" Target="#Portada!A1"/></Relationships>
</file>

<file path=xl/drawings/_rels/drawing6.xml.rels><?xml version="1.0" encoding="UTF-8" standalone="yes"?>
<Relationships xmlns="http://schemas.openxmlformats.org/package/2006/relationships"><Relationship Id="rId3" Type="http://schemas.openxmlformats.org/officeDocument/2006/relationships/hyperlink" Target="#'3. Resultats Escenaris'!A1"/><Relationship Id="rId2" Type="http://schemas.openxmlformats.org/officeDocument/2006/relationships/hyperlink" Target="#'5. Mem&#242;ria'!A1"/><Relationship Id="rId1" Type="http://schemas.openxmlformats.org/officeDocument/2006/relationships/hyperlink" Target="#Portada!A1"/></Relationships>
</file>

<file path=xl/drawings/_rels/drawing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5" Type="http://schemas.openxmlformats.org/officeDocument/2006/relationships/image" Target="../media/image10.png"/><Relationship Id="rId4" Type="http://schemas.openxmlformats.org/officeDocument/2006/relationships/image" Target="../media/image9.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161925</xdr:rowOff>
    </xdr:from>
    <xdr:to>
      <xdr:col>2</xdr:col>
      <xdr:colOff>476250</xdr:colOff>
      <xdr:row>3</xdr:row>
      <xdr:rowOff>169171</xdr:rowOff>
    </xdr:to>
    <xdr:pic>
      <xdr:nvPicPr>
        <xdr:cNvPr id="2" name="Imatge 1" descr="logo_diba">
          <a:extLst>
            <a:ext uri="{FF2B5EF4-FFF2-40B4-BE49-F238E27FC236}">
              <a16:creationId xmlns:a16="http://schemas.microsoft.com/office/drawing/2014/main" id="{B65F9B23-1FEC-4A96-87A3-155B4F8A3D6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0422"/>
        <a:stretch>
          <a:fillRect/>
        </a:stretch>
      </xdr:blipFill>
      <xdr:spPr bwMode="auto">
        <a:xfrm>
          <a:off x="190500" y="161925"/>
          <a:ext cx="1504950" cy="578746"/>
        </a:xfrm>
        <a:prstGeom prst="rect">
          <a:avLst/>
        </a:prstGeom>
        <a:noFill/>
        <a:ln>
          <a:noFill/>
        </a:ln>
      </xdr:spPr>
    </xdr:pic>
    <xdr:clientData/>
  </xdr:twoCellAnchor>
  <xdr:twoCellAnchor>
    <xdr:from>
      <xdr:col>3</xdr:col>
      <xdr:colOff>104775</xdr:colOff>
      <xdr:row>19</xdr:row>
      <xdr:rowOff>85725</xdr:rowOff>
    </xdr:from>
    <xdr:to>
      <xdr:col>3</xdr:col>
      <xdr:colOff>1952625</xdr:colOff>
      <xdr:row>22</xdr:row>
      <xdr:rowOff>200025</xdr:rowOff>
    </xdr:to>
    <xdr:sp macro="" textlink="">
      <xdr:nvSpPr>
        <xdr:cNvPr id="3" name="Rectangle arrodonit 2">
          <a:hlinkClick xmlns:r="http://schemas.openxmlformats.org/officeDocument/2006/relationships" r:id="rId2"/>
          <a:extLst>
            <a:ext uri="{FF2B5EF4-FFF2-40B4-BE49-F238E27FC236}">
              <a16:creationId xmlns:a16="http://schemas.microsoft.com/office/drawing/2014/main" id="{94CAB254-4910-4890-9B84-5674C211B2A6}"/>
            </a:ext>
          </a:extLst>
        </xdr:cNvPr>
        <xdr:cNvSpPr/>
      </xdr:nvSpPr>
      <xdr:spPr>
        <a:xfrm>
          <a:off x="1933575" y="4314825"/>
          <a:ext cx="1847850" cy="914400"/>
        </a:xfrm>
        <a:prstGeom prst="roundRect">
          <a:avLst/>
        </a:prstGeom>
        <a:solidFill>
          <a:schemeClr val="accent6">
            <a:lumMod val="75000"/>
          </a:schemeClr>
        </a:solidFill>
        <a:scene3d>
          <a:camera prst="orthographicFront"/>
          <a:lightRig rig="threePt" dir="t"/>
        </a:scene3d>
        <a:sp3d>
          <a:bevelT w="114300" prst="artDeco"/>
        </a:sp3d>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ca-ES" sz="1800" b="1">
              <a:solidFill>
                <a:schemeClr val="bg1"/>
              </a:solidFill>
            </a:rPr>
            <a:t>Comença</a:t>
          </a:r>
        </a:p>
      </xdr:txBody>
    </xdr:sp>
    <xdr:clientData/>
  </xdr:twoCellAnchor>
  <xdr:twoCellAnchor>
    <xdr:from>
      <xdr:col>10</xdr:col>
      <xdr:colOff>57150</xdr:colOff>
      <xdr:row>20</xdr:row>
      <xdr:rowOff>47625</xdr:rowOff>
    </xdr:from>
    <xdr:to>
      <xdr:col>12</xdr:col>
      <xdr:colOff>104775</xdr:colOff>
      <xdr:row>22</xdr:row>
      <xdr:rowOff>66675</xdr:rowOff>
    </xdr:to>
    <xdr:sp macro="" textlink="">
      <xdr:nvSpPr>
        <xdr:cNvPr id="4" name="Rectangle arrodonit 1">
          <a:hlinkClick xmlns:r="http://schemas.openxmlformats.org/officeDocument/2006/relationships" r:id="rId3"/>
          <a:extLst>
            <a:ext uri="{FF2B5EF4-FFF2-40B4-BE49-F238E27FC236}">
              <a16:creationId xmlns:a16="http://schemas.microsoft.com/office/drawing/2014/main" id="{3A98A368-88E3-4501-959E-1B298C8BB68E}"/>
            </a:ext>
          </a:extLst>
        </xdr:cNvPr>
        <xdr:cNvSpPr/>
      </xdr:nvSpPr>
      <xdr:spPr>
        <a:xfrm>
          <a:off x="11220450" y="4314825"/>
          <a:ext cx="1266825" cy="552450"/>
        </a:xfrm>
        <a:prstGeom prst="roundRect">
          <a:avLst/>
        </a:prstGeom>
        <a:solidFill>
          <a:schemeClr val="accent6">
            <a:lumMod val="60000"/>
            <a:lumOff val="40000"/>
          </a:schemeClr>
        </a:solidFill>
        <a:scene3d>
          <a:camera prst="orthographicFront"/>
          <a:lightRig rig="threePt" dir="t"/>
        </a:scene3d>
        <a:sp3d>
          <a:bevelT w="139700" h="139700" prst="divot"/>
        </a:sp3d>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ctr"/>
          <a:r>
            <a:rPr lang="ca-ES" sz="1100" b="1">
              <a:solidFill>
                <a:sysClr val="windowText" lastClr="000000"/>
              </a:solidFill>
            </a:rPr>
            <a:t>Continua, ves a full posterior</a:t>
          </a:r>
        </a:p>
      </xdr:txBody>
    </xdr:sp>
    <xdr:clientData/>
  </xdr:twoCellAnchor>
  <xdr:twoCellAnchor>
    <xdr:from>
      <xdr:col>10</xdr:col>
      <xdr:colOff>38100</xdr:colOff>
      <xdr:row>15</xdr:row>
      <xdr:rowOff>57150</xdr:rowOff>
    </xdr:from>
    <xdr:to>
      <xdr:col>12</xdr:col>
      <xdr:colOff>95250</xdr:colOff>
      <xdr:row>17</xdr:row>
      <xdr:rowOff>95250</xdr:rowOff>
    </xdr:to>
    <xdr:sp macro="" textlink="">
      <xdr:nvSpPr>
        <xdr:cNvPr id="5" name="Rectangle arrodonit 1">
          <a:extLst>
            <a:ext uri="{FF2B5EF4-FFF2-40B4-BE49-F238E27FC236}">
              <a16:creationId xmlns:a16="http://schemas.microsoft.com/office/drawing/2014/main" id="{B00D5E77-5501-49FA-9048-BD38EFFBF59B}"/>
            </a:ext>
          </a:extLst>
        </xdr:cNvPr>
        <xdr:cNvSpPr/>
      </xdr:nvSpPr>
      <xdr:spPr>
        <a:xfrm>
          <a:off x="11201400" y="3695700"/>
          <a:ext cx="1276350" cy="628650"/>
        </a:xfrm>
        <a:prstGeom prst="roundRect">
          <a:avLst/>
        </a:prstGeom>
        <a:solidFill>
          <a:schemeClr val="accent2">
            <a:lumMod val="60000"/>
            <a:lumOff val="40000"/>
          </a:schemeClr>
        </a:solidFill>
        <a:scene3d>
          <a:camera prst="orthographicFront"/>
          <a:lightRig rig="threePt" dir="t"/>
        </a:scene3d>
        <a:sp3d>
          <a:bevelT w="139700" h="139700" prst="divot"/>
        </a:sp3d>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ca-ES" sz="1100" b="1">
              <a:solidFill>
                <a:sysClr val="windowText" lastClr="000000"/>
              </a:solidFill>
            </a:rPr>
            <a:t>Menú d'entrada</a:t>
          </a:r>
        </a:p>
      </xdr:txBody>
    </xdr:sp>
    <xdr:clientData/>
  </xdr:twoCellAnchor>
  <xdr:twoCellAnchor>
    <xdr:from>
      <xdr:col>10</xdr:col>
      <xdr:colOff>47625</xdr:colOff>
      <xdr:row>17</xdr:row>
      <xdr:rowOff>171450</xdr:rowOff>
    </xdr:from>
    <xdr:to>
      <xdr:col>12</xdr:col>
      <xdr:colOff>104775</xdr:colOff>
      <xdr:row>19</xdr:row>
      <xdr:rowOff>238125</xdr:rowOff>
    </xdr:to>
    <xdr:sp macro="" textlink="">
      <xdr:nvSpPr>
        <xdr:cNvPr id="6" name="Rectangle arrodonit 1">
          <a:extLst>
            <a:ext uri="{FF2B5EF4-FFF2-40B4-BE49-F238E27FC236}">
              <a16:creationId xmlns:a16="http://schemas.microsoft.com/office/drawing/2014/main" id="{D18F1CBA-C27F-4D38-86C0-5AB91888C8C0}"/>
            </a:ext>
          </a:extLst>
        </xdr:cNvPr>
        <xdr:cNvSpPr/>
      </xdr:nvSpPr>
      <xdr:spPr>
        <a:xfrm>
          <a:off x="11210925" y="3638550"/>
          <a:ext cx="1276350" cy="600075"/>
        </a:xfrm>
        <a:prstGeom prst="roundRect">
          <a:avLst/>
        </a:prstGeom>
        <a:solidFill>
          <a:schemeClr val="accent4">
            <a:lumMod val="40000"/>
            <a:lumOff val="60000"/>
          </a:schemeClr>
        </a:solidFill>
        <a:scene3d>
          <a:camera prst="orthographicFront"/>
          <a:lightRig rig="threePt" dir="t"/>
        </a:scene3d>
        <a:sp3d>
          <a:bevelT w="139700" h="139700" prst="divot"/>
        </a:sp3d>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ca-ES" sz="1100" b="1">
              <a:solidFill>
                <a:sysClr val="windowText" lastClr="000000"/>
              </a:solidFill>
            </a:rPr>
            <a:t>Ves a full anterior</a:t>
          </a:r>
        </a:p>
      </xdr:txBody>
    </xdr:sp>
    <xdr:clientData/>
  </xdr:twoCellAnchor>
  <xdr:twoCellAnchor editAs="oneCell">
    <xdr:from>
      <xdr:col>10</xdr:col>
      <xdr:colOff>537885</xdr:colOff>
      <xdr:row>0</xdr:row>
      <xdr:rowOff>56030</xdr:rowOff>
    </xdr:from>
    <xdr:to>
      <xdr:col>14</xdr:col>
      <xdr:colOff>280147</xdr:colOff>
      <xdr:row>3</xdr:row>
      <xdr:rowOff>59097</xdr:rowOff>
    </xdr:to>
    <xdr:pic>
      <xdr:nvPicPr>
        <xdr:cNvPr id="7" name="Imatge 6">
          <a:extLst>
            <a:ext uri="{FF2B5EF4-FFF2-40B4-BE49-F238E27FC236}">
              <a16:creationId xmlns:a16="http://schemas.microsoft.com/office/drawing/2014/main" id="{F8E9AC00-A9B6-4576-B1A1-A80177345A0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701185" y="56030"/>
          <a:ext cx="2180662" cy="5745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561975</xdr:colOff>
      <xdr:row>14</xdr:row>
      <xdr:rowOff>38100</xdr:rowOff>
    </xdr:from>
    <xdr:to>
      <xdr:col>3</xdr:col>
      <xdr:colOff>581025</xdr:colOff>
      <xdr:row>19</xdr:row>
      <xdr:rowOff>0</xdr:rowOff>
    </xdr:to>
    <xdr:sp macro="" textlink="">
      <xdr:nvSpPr>
        <xdr:cNvPr id="3" name="Rectangle arrodonit 2">
          <a:hlinkClick xmlns:r="http://schemas.openxmlformats.org/officeDocument/2006/relationships" r:id="rId1"/>
          <a:extLst>
            <a:ext uri="{FF2B5EF4-FFF2-40B4-BE49-F238E27FC236}">
              <a16:creationId xmlns:a16="http://schemas.microsoft.com/office/drawing/2014/main" id="{0DA9FDD1-03E2-4238-9C7E-CE73CCE7D55E}"/>
            </a:ext>
          </a:extLst>
        </xdr:cNvPr>
        <xdr:cNvSpPr/>
      </xdr:nvSpPr>
      <xdr:spPr>
        <a:xfrm>
          <a:off x="561975" y="3086100"/>
          <a:ext cx="1847850" cy="914400"/>
        </a:xfrm>
        <a:prstGeom prst="roundRect">
          <a:avLst/>
        </a:prstGeom>
        <a:solidFill>
          <a:schemeClr val="accent6">
            <a:lumMod val="75000"/>
          </a:schemeClr>
        </a:solidFill>
        <a:scene3d>
          <a:camera prst="orthographicFront"/>
          <a:lightRig rig="threePt" dir="t"/>
        </a:scene3d>
        <a:sp3d>
          <a:bevelT w="114300" prst="artDeco"/>
        </a:sp3d>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ca-ES" sz="1800" b="1">
              <a:solidFill>
                <a:schemeClr val="bg1"/>
              </a:solidFill>
            </a:rPr>
            <a:t>Dades</a:t>
          </a:r>
          <a:r>
            <a:rPr lang="ca-ES" sz="1800" b="1" baseline="0">
              <a:solidFill>
                <a:schemeClr val="bg1"/>
              </a:solidFill>
            </a:rPr>
            <a:t> de la instal·lació</a:t>
          </a:r>
          <a:endParaRPr lang="ca-ES" sz="1800" b="1">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200025</xdr:colOff>
      <xdr:row>29</xdr:row>
      <xdr:rowOff>104775</xdr:rowOff>
    </xdr:from>
    <xdr:to>
      <xdr:col>1</xdr:col>
      <xdr:colOff>1476375</xdr:colOff>
      <xdr:row>32</xdr:row>
      <xdr:rowOff>161925</xdr:rowOff>
    </xdr:to>
    <xdr:sp macro="" textlink="">
      <xdr:nvSpPr>
        <xdr:cNvPr id="2" name="Rectangle arrodonit 1">
          <a:hlinkClick xmlns:r="http://schemas.openxmlformats.org/officeDocument/2006/relationships" r:id="rId1"/>
          <a:extLst>
            <a:ext uri="{FF2B5EF4-FFF2-40B4-BE49-F238E27FC236}">
              <a16:creationId xmlns:a16="http://schemas.microsoft.com/office/drawing/2014/main" id="{A5911054-1AAD-4249-9312-72FDDCCE3094}"/>
            </a:ext>
          </a:extLst>
        </xdr:cNvPr>
        <xdr:cNvSpPr/>
      </xdr:nvSpPr>
      <xdr:spPr>
        <a:xfrm>
          <a:off x="809625" y="5734050"/>
          <a:ext cx="1276350" cy="628650"/>
        </a:xfrm>
        <a:prstGeom prst="roundRect">
          <a:avLst/>
        </a:prstGeom>
        <a:solidFill>
          <a:schemeClr val="accent2">
            <a:lumMod val="60000"/>
            <a:lumOff val="40000"/>
          </a:schemeClr>
        </a:solidFill>
        <a:scene3d>
          <a:camera prst="orthographicFront"/>
          <a:lightRig rig="threePt" dir="t"/>
        </a:scene3d>
        <a:sp3d>
          <a:bevelT w="139700" h="139700" prst="divot"/>
        </a:sp3d>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ca-ES" sz="1100" b="1">
              <a:solidFill>
                <a:sysClr val="windowText" lastClr="000000"/>
              </a:solidFill>
            </a:rPr>
            <a:t>Menú d'entrada</a:t>
          </a:r>
        </a:p>
      </xdr:txBody>
    </xdr:sp>
    <xdr:clientData/>
  </xdr:twoCellAnchor>
  <xdr:twoCellAnchor>
    <xdr:from>
      <xdr:col>1</xdr:col>
      <xdr:colOff>1857375</xdr:colOff>
      <xdr:row>29</xdr:row>
      <xdr:rowOff>104774</xdr:rowOff>
    </xdr:from>
    <xdr:to>
      <xdr:col>1</xdr:col>
      <xdr:colOff>3171825</xdr:colOff>
      <xdr:row>32</xdr:row>
      <xdr:rowOff>152399</xdr:rowOff>
    </xdr:to>
    <xdr:sp macro="" textlink="">
      <xdr:nvSpPr>
        <xdr:cNvPr id="3" name="Rectangle arrodonit 1">
          <a:hlinkClick xmlns:r="http://schemas.openxmlformats.org/officeDocument/2006/relationships" r:id="rId2"/>
          <a:extLst>
            <a:ext uri="{FF2B5EF4-FFF2-40B4-BE49-F238E27FC236}">
              <a16:creationId xmlns:a16="http://schemas.microsoft.com/office/drawing/2014/main" id="{68C56141-D972-4EBC-9178-B7864406A48F}"/>
            </a:ext>
          </a:extLst>
        </xdr:cNvPr>
        <xdr:cNvSpPr/>
      </xdr:nvSpPr>
      <xdr:spPr>
        <a:xfrm>
          <a:off x="2466975" y="5734049"/>
          <a:ext cx="1314450" cy="619125"/>
        </a:xfrm>
        <a:prstGeom prst="roundRect">
          <a:avLst/>
        </a:prstGeom>
        <a:solidFill>
          <a:schemeClr val="accent6">
            <a:lumMod val="60000"/>
            <a:lumOff val="40000"/>
          </a:schemeClr>
        </a:solidFill>
        <a:scene3d>
          <a:camera prst="orthographicFront"/>
          <a:lightRig rig="threePt" dir="t"/>
        </a:scene3d>
        <a:sp3d>
          <a:bevelT w="139700" h="139700" prst="divot"/>
        </a:sp3d>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ctr"/>
          <a:r>
            <a:rPr lang="ca-ES" sz="1100" b="1">
              <a:solidFill>
                <a:sysClr val="windowText" lastClr="000000"/>
              </a:solidFill>
            </a:rPr>
            <a:t>Continua, ves a full posterior</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459442</xdr:colOff>
      <xdr:row>5</xdr:row>
      <xdr:rowOff>67236</xdr:rowOff>
    </xdr:from>
    <xdr:to>
      <xdr:col>16</xdr:col>
      <xdr:colOff>525557</xdr:colOff>
      <xdr:row>8</xdr:row>
      <xdr:rowOff>141755</xdr:rowOff>
    </xdr:to>
    <xdr:sp macro="" textlink="">
      <xdr:nvSpPr>
        <xdr:cNvPr id="3" name="Rectangle arrodonit 1">
          <a:hlinkClick xmlns:r="http://schemas.openxmlformats.org/officeDocument/2006/relationships" r:id="rId1"/>
          <a:extLst>
            <a:ext uri="{FF2B5EF4-FFF2-40B4-BE49-F238E27FC236}">
              <a16:creationId xmlns:a16="http://schemas.microsoft.com/office/drawing/2014/main" id="{A06477B2-FBCB-40AF-8F00-4A22CE32DCD0}"/>
            </a:ext>
          </a:extLst>
        </xdr:cNvPr>
        <xdr:cNvSpPr/>
      </xdr:nvSpPr>
      <xdr:spPr>
        <a:xfrm>
          <a:off x="15968383" y="1042148"/>
          <a:ext cx="1276350" cy="657225"/>
        </a:xfrm>
        <a:prstGeom prst="roundRect">
          <a:avLst/>
        </a:prstGeom>
        <a:solidFill>
          <a:schemeClr val="accent4">
            <a:lumMod val="40000"/>
            <a:lumOff val="60000"/>
          </a:schemeClr>
        </a:solidFill>
        <a:scene3d>
          <a:camera prst="orthographicFront"/>
          <a:lightRig rig="threePt" dir="t"/>
        </a:scene3d>
        <a:sp3d>
          <a:bevelT w="139700" h="139700" prst="divot"/>
        </a:sp3d>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ca-ES" sz="1100" b="1">
              <a:solidFill>
                <a:sysClr val="windowText" lastClr="000000"/>
              </a:solidFill>
            </a:rPr>
            <a:t>Ves a full anterior</a:t>
          </a:r>
        </a:p>
      </xdr:txBody>
    </xdr:sp>
    <xdr:clientData/>
  </xdr:twoCellAnchor>
  <xdr:twoCellAnchor>
    <xdr:from>
      <xdr:col>14</xdr:col>
      <xdr:colOff>448235</xdr:colOff>
      <xdr:row>1</xdr:row>
      <xdr:rowOff>22412</xdr:rowOff>
    </xdr:from>
    <xdr:to>
      <xdr:col>16</xdr:col>
      <xdr:colOff>514350</xdr:colOff>
      <xdr:row>4</xdr:row>
      <xdr:rowOff>79562</xdr:rowOff>
    </xdr:to>
    <xdr:sp macro="" textlink="">
      <xdr:nvSpPr>
        <xdr:cNvPr id="4" name="Rectangle arrodonit 1">
          <a:hlinkClick xmlns:r="http://schemas.openxmlformats.org/officeDocument/2006/relationships" r:id="rId2"/>
          <a:extLst>
            <a:ext uri="{FF2B5EF4-FFF2-40B4-BE49-F238E27FC236}">
              <a16:creationId xmlns:a16="http://schemas.microsoft.com/office/drawing/2014/main" id="{DB8343D1-CB13-463D-9FA2-6ED17D66C40B}"/>
            </a:ext>
          </a:extLst>
        </xdr:cNvPr>
        <xdr:cNvSpPr/>
      </xdr:nvSpPr>
      <xdr:spPr>
        <a:xfrm>
          <a:off x="15957176" y="235324"/>
          <a:ext cx="1276350" cy="628650"/>
        </a:xfrm>
        <a:prstGeom prst="roundRect">
          <a:avLst/>
        </a:prstGeom>
        <a:solidFill>
          <a:schemeClr val="accent2">
            <a:lumMod val="60000"/>
            <a:lumOff val="40000"/>
          </a:schemeClr>
        </a:solidFill>
        <a:scene3d>
          <a:camera prst="orthographicFront"/>
          <a:lightRig rig="threePt" dir="t"/>
        </a:scene3d>
        <a:sp3d>
          <a:bevelT w="139700" h="139700" prst="divot"/>
        </a:sp3d>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ca-ES" sz="1100" b="1">
              <a:solidFill>
                <a:sysClr val="windowText" lastClr="000000"/>
              </a:solidFill>
            </a:rPr>
            <a:t>Menú d'entrada</a:t>
          </a:r>
        </a:p>
      </xdr:txBody>
    </xdr:sp>
    <xdr:clientData/>
  </xdr:twoCellAnchor>
  <xdr:twoCellAnchor>
    <xdr:from>
      <xdr:col>14</xdr:col>
      <xdr:colOff>459442</xdr:colOff>
      <xdr:row>9</xdr:row>
      <xdr:rowOff>134471</xdr:rowOff>
    </xdr:from>
    <xdr:to>
      <xdr:col>16</xdr:col>
      <xdr:colOff>563657</xdr:colOff>
      <xdr:row>12</xdr:row>
      <xdr:rowOff>182096</xdr:rowOff>
    </xdr:to>
    <xdr:sp macro="" textlink="">
      <xdr:nvSpPr>
        <xdr:cNvPr id="6" name="Rectangle arrodonit 1">
          <a:hlinkClick xmlns:r="http://schemas.openxmlformats.org/officeDocument/2006/relationships" r:id="rId3"/>
          <a:extLst>
            <a:ext uri="{FF2B5EF4-FFF2-40B4-BE49-F238E27FC236}">
              <a16:creationId xmlns:a16="http://schemas.microsoft.com/office/drawing/2014/main" id="{2BD05EB4-DE1C-43E6-941D-C958161162BB}"/>
            </a:ext>
          </a:extLst>
        </xdr:cNvPr>
        <xdr:cNvSpPr/>
      </xdr:nvSpPr>
      <xdr:spPr>
        <a:xfrm>
          <a:off x="15968383" y="1882589"/>
          <a:ext cx="1314450" cy="619125"/>
        </a:xfrm>
        <a:prstGeom prst="roundRect">
          <a:avLst/>
        </a:prstGeom>
        <a:solidFill>
          <a:schemeClr val="accent6">
            <a:lumMod val="60000"/>
            <a:lumOff val="40000"/>
          </a:schemeClr>
        </a:solidFill>
        <a:scene3d>
          <a:camera prst="orthographicFront"/>
          <a:lightRig rig="threePt" dir="t"/>
        </a:scene3d>
        <a:sp3d>
          <a:bevelT w="139700" h="139700" prst="divot"/>
        </a:sp3d>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ctr"/>
          <a:r>
            <a:rPr lang="ca-ES" sz="1100" b="1">
              <a:solidFill>
                <a:sysClr val="windowText" lastClr="000000"/>
              </a:solidFill>
            </a:rPr>
            <a:t>Continua, ves a full posterior</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867833</xdr:colOff>
      <xdr:row>35</xdr:row>
      <xdr:rowOff>148167</xdr:rowOff>
    </xdr:from>
    <xdr:to>
      <xdr:col>0</xdr:col>
      <xdr:colOff>2144183</xdr:colOff>
      <xdr:row>39</xdr:row>
      <xdr:rowOff>14817</xdr:rowOff>
    </xdr:to>
    <xdr:sp macro="" textlink="">
      <xdr:nvSpPr>
        <xdr:cNvPr id="2" name="Rectangle arrodonit 1">
          <a:hlinkClick xmlns:r="http://schemas.openxmlformats.org/officeDocument/2006/relationships" r:id="rId1"/>
          <a:extLst>
            <a:ext uri="{FF2B5EF4-FFF2-40B4-BE49-F238E27FC236}">
              <a16:creationId xmlns:a16="http://schemas.microsoft.com/office/drawing/2014/main" id="{3B341D6A-17D3-4F50-BB1A-9E67D7193903}"/>
            </a:ext>
          </a:extLst>
        </xdr:cNvPr>
        <xdr:cNvSpPr/>
      </xdr:nvSpPr>
      <xdr:spPr>
        <a:xfrm>
          <a:off x="867833" y="6741584"/>
          <a:ext cx="1276350" cy="628650"/>
        </a:xfrm>
        <a:prstGeom prst="roundRect">
          <a:avLst/>
        </a:prstGeom>
        <a:solidFill>
          <a:schemeClr val="accent2">
            <a:lumMod val="60000"/>
            <a:lumOff val="40000"/>
          </a:schemeClr>
        </a:solidFill>
        <a:scene3d>
          <a:camera prst="orthographicFront"/>
          <a:lightRig rig="threePt" dir="t"/>
        </a:scene3d>
        <a:sp3d>
          <a:bevelT w="139700" h="139700" prst="divot"/>
        </a:sp3d>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ca-ES" sz="1100" b="1">
              <a:solidFill>
                <a:sysClr val="windowText" lastClr="000000"/>
              </a:solidFill>
            </a:rPr>
            <a:t>Menú d'entrada</a:t>
          </a:r>
        </a:p>
      </xdr:txBody>
    </xdr:sp>
    <xdr:clientData/>
  </xdr:twoCellAnchor>
  <xdr:twoCellAnchor>
    <xdr:from>
      <xdr:col>0</xdr:col>
      <xdr:colOff>3841751</xdr:colOff>
      <xdr:row>36</xdr:row>
      <xdr:rowOff>10583</xdr:rowOff>
    </xdr:from>
    <xdr:to>
      <xdr:col>0</xdr:col>
      <xdr:colOff>5156201</xdr:colOff>
      <xdr:row>39</xdr:row>
      <xdr:rowOff>58208</xdr:rowOff>
    </xdr:to>
    <xdr:sp macro="" textlink="">
      <xdr:nvSpPr>
        <xdr:cNvPr id="3" name="Rectangle arrodonit 1">
          <a:hlinkClick xmlns:r="http://schemas.openxmlformats.org/officeDocument/2006/relationships" r:id="rId2"/>
          <a:extLst>
            <a:ext uri="{FF2B5EF4-FFF2-40B4-BE49-F238E27FC236}">
              <a16:creationId xmlns:a16="http://schemas.microsoft.com/office/drawing/2014/main" id="{4C723263-EEA4-4586-93B5-527FFC46AE1F}"/>
            </a:ext>
          </a:extLst>
        </xdr:cNvPr>
        <xdr:cNvSpPr/>
      </xdr:nvSpPr>
      <xdr:spPr>
        <a:xfrm>
          <a:off x="3841751" y="6794500"/>
          <a:ext cx="1314450" cy="619125"/>
        </a:xfrm>
        <a:prstGeom prst="roundRect">
          <a:avLst/>
        </a:prstGeom>
        <a:solidFill>
          <a:schemeClr val="accent6">
            <a:lumMod val="60000"/>
            <a:lumOff val="40000"/>
          </a:schemeClr>
        </a:solidFill>
        <a:scene3d>
          <a:camera prst="orthographicFront"/>
          <a:lightRig rig="threePt" dir="t"/>
        </a:scene3d>
        <a:sp3d>
          <a:bevelT w="139700" h="139700" prst="divot"/>
        </a:sp3d>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ctr"/>
          <a:r>
            <a:rPr lang="ca-ES" sz="1100" b="1">
              <a:solidFill>
                <a:sysClr val="windowText" lastClr="000000"/>
              </a:solidFill>
            </a:rPr>
            <a:t>Continua, ves a full posterior</a:t>
          </a:r>
        </a:p>
      </xdr:txBody>
    </xdr:sp>
    <xdr:clientData/>
  </xdr:twoCellAnchor>
  <xdr:twoCellAnchor>
    <xdr:from>
      <xdr:col>0</xdr:col>
      <xdr:colOff>2338917</xdr:colOff>
      <xdr:row>35</xdr:row>
      <xdr:rowOff>148166</xdr:rowOff>
    </xdr:from>
    <xdr:to>
      <xdr:col>0</xdr:col>
      <xdr:colOff>3615267</xdr:colOff>
      <xdr:row>39</xdr:row>
      <xdr:rowOff>43391</xdr:rowOff>
    </xdr:to>
    <xdr:sp macro="" textlink="">
      <xdr:nvSpPr>
        <xdr:cNvPr id="4" name="Rectangle arrodonit 1">
          <a:hlinkClick xmlns:r="http://schemas.openxmlformats.org/officeDocument/2006/relationships" r:id="rId3"/>
          <a:extLst>
            <a:ext uri="{FF2B5EF4-FFF2-40B4-BE49-F238E27FC236}">
              <a16:creationId xmlns:a16="http://schemas.microsoft.com/office/drawing/2014/main" id="{4234980E-4E6D-4624-8FB5-C1FE5B079225}"/>
            </a:ext>
          </a:extLst>
        </xdr:cNvPr>
        <xdr:cNvSpPr/>
      </xdr:nvSpPr>
      <xdr:spPr>
        <a:xfrm>
          <a:off x="2338917" y="6741583"/>
          <a:ext cx="1276350" cy="657225"/>
        </a:xfrm>
        <a:prstGeom prst="roundRect">
          <a:avLst/>
        </a:prstGeom>
        <a:solidFill>
          <a:schemeClr val="accent4">
            <a:lumMod val="40000"/>
            <a:lumOff val="60000"/>
          </a:schemeClr>
        </a:solidFill>
        <a:scene3d>
          <a:camera prst="orthographicFront"/>
          <a:lightRig rig="threePt" dir="t"/>
        </a:scene3d>
        <a:sp3d>
          <a:bevelT w="139700" h="139700" prst="divot"/>
        </a:sp3d>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ca-ES" sz="1100" b="1">
              <a:solidFill>
                <a:sysClr val="windowText" lastClr="000000"/>
              </a:solidFill>
            </a:rPr>
            <a:t>Ves a full anterior</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533400</xdr:colOff>
      <xdr:row>31</xdr:row>
      <xdr:rowOff>28575</xdr:rowOff>
    </xdr:from>
    <xdr:to>
      <xdr:col>2</xdr:col>
      <xdr:colOff>590550</xdr:colOff>
      <xdr:row>34</xdr:row>
      <xdr:rowOff>85725</xdr:rowOff>
    </xdr:to>
    <xdr:sp macro="" textlink="">
      <xdr:nvSpPr>
        <xdr:cNvPr id="3" name="Rectangle arrodonit 1">
          <a:hlinkClick xmlns:r="http://schemas.openxmlformats.org/officeDocument/2006/relationships" r:id="rId1"/>
          <a:extLst>
            <a:ext uri="{FF2B5EF4-FFF2-40B4-BE49-F238E27FC236}">
              <a16:creationId xmlns:a16="http://schemas.microsoft.com/office/drawing/2014/main" id="{6E102CC3-D295-426F-A44B-6A104A17EA8B}"/>
            </a:ext>
          </a:extLst>
        </xdr:cNvPr>
        <xdr:cNvSpPr/>
      </xdr:nvSpPr>
      <xdr:spPr>
        <a:xfrm>
          <a:off x="533400" y="6010275"/>
          <a:ext cx="1276350" cy="628650"/>
        </a:xfrm>
        <a:prstGeom prst="roundRect">
          <a:avLst/>
        </a:prstGeom>
        <a:solidFill>
          <a:schemeClr val="accent2">
            <a:lumMod val="60000"/>
            <a:lumOff val="40000"/>
          </a:schemeClr>
        </a:solidFill>
        <a:scene3d>
          <a:camera prst="orthographicFront"/>
          <a:lightRig rig="threePt" dir="t"/>
        </a:scene3d>
        <a:sp3d>
          <a:bevelT w="139700" h="139700" prst="divot"/>
        </a:sp3d>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ca-ES" sz="1100" b="1">
              <a:solidFill>
                <a:sysClr val="windowText" lastClr="000000"/>
              </a:solidFill>
            </a:rPr>
            <a:t>Menú d'entrada</a:t>
          </a:r>
        </a:p>
      </xdr:txBody>
    </xdr:sp>
    <xdr:clientData/>
  </xdr:twoCellAnchor>
  <xdr:twoCellAnchor>
    <xdr:from>
      <xdr:col>2</xdr:col>
      <xdr:colOff>2171700</xdr:colOff>
      <xdr:row>31</xdr:row>
      <xdr:rowOff>28575</xdr:rowOff>
    </xdr:from>
    <xdr:to>
      <xdr:col>3</xdr:col>
      <xdr:colOff>409575</xdr:colOff>
      <xdr:row>34</xdr:row>
      <xdr:rowOff>142875</xdr:rowOff>
    </xdr:to>
    <xdr:sp macro="" textlink="">
      <xdr:nvSpPr>
        <xdr:cNvPr id="7" name="Rectangle arrodonit 1">
          <a:hlinkClick xmlns:r="http://schemas.openxmlformats.org/officeDocument/2006/relationships" r:id="rId2"/>
          <a:extLst>
            <a:ext uri="{FF2B5EF4-FFF2-40B4-BE49-F238E27FC236}">
              <a16:creationId xmlns:a16="http://schemas.microsoft.com/office/drawing/2014/main" id="{93426F07-9F7A-4A82-9A9F-26C1966A0522}"/>
            </a:ext>
          </a:extLst>
        </xdr:cNvPr>
        <xdr:cNvSpPr/>
      </xdr:nvSpPr>
      <xdr:spPr>
        <a:xfrm>
          <a:off x="3390900" y="6010275"/>
          <a:ext cx="1276350" cy="685800"/>
        </a:xfrm>
        <a:prstGeom prst="roundRect">
          <a:avLst/>
        </a:prstGeom>
        <a:solidFill>
          <a:schemeClr val="accent6">
            <a:lumMod val="60000"/>
            <a:lumOff val="40000"/>
          </a:schemeClr>
        </a:solidFill>
        <a:scene3d>
          <a:camera prst="orthographicFront"/>
          <a:lightRig rig="threePt" dir="t"/>
        </a:scene3d>
        <a:sp3d>
          <a:bevelT w="139700" h="139700" prst="divot"/>
        </a:sp3d>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ca-ES" sz="1100" b="1">
              <a:solidFill>
                <a:sysClr val="windowText" lastClr="000000"/>
              </a:solidFill>
            </a:rPr>
            <a:t>Continua, ves a la memòria</a:t>
          </a:r>
        </a:p>
      </xdr:txBody>
    </xdr:sp>
    <xdr:clientData/>
  </xdr:twoCellAnchor>
  <xdr:twoCellAnchor>
    <xdr:from>
      <xdr:col>2</xdr:col>
      <xdr:colOff>752475</xdr:colOff>
      <xdr:row>31</xdr:row>
      <xdr:rowOff>38100</xdr:rowOff>
    </xdr:from>
    <xdr:to>
      <xdr:col>2</xdr:col>
      <xdr:colOff>2028825</xdr:colOff>
      <xdr:row>34</xdr:row>
      <xdr:rowOff>123825</xdr:rowOff>
    </xdr:to>
    <xdr:sp macro="" textlink="">
      <xdr:nvSpPr>
        <xdr:cNvPr id="8" name="Rectangle arrodonit 1">
          <a:hlinkClick xmlns:r="http://schemas.openxmlformats.org/officeDocument/2006/relationships" r:id="rId3"/>
          <a:extLst>
            <a:ext uri="{FF2B5EF4-FFF2-40B4-BE49-F238E27FC236}">
              <a16:creationId xmlns:a16="http://schemas.microsoft.com/office/drawing/2014/main" id="{B8C2A891-5AE5-4A48-89F1-C5AE0B6FA7A6}"/>
            </a:ext>
          </a:extLst>
        </xdr:cNvPr>
        <xdr:cNvSpPr/>
      </xdr:nvSpPr>
      <xdr:spPr>
        <a:xfrm>
          <a:off x="1971675" y="6019800"/>
          <a:ext cx="1276350" cy="657225"/>
        </a:xfrm>
        <a:prstGeom prst="roundRect">
          <a:avLst/>
        </a:prstGeom>
        <a:solidFill>
          <a:schemeClr val="accent4">
            <a:lumMod val="40000"/>
            <a:lumOff val="60000"/>
          </a:schemeClr>
        </a:solidFill>
        <a:scene3d>
          <a:camera prst="orthographicFront"/>
          <a:lightRig rig="threePt" dir="t"/>
        </a:scene3d>
        <a:sp3d>
          <a:bevelT w="139700" h="139700" prst="divot"/>
        </a:sp3d>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ca-ES" sz="1100" b="1">
              <a:solidFill>
                <a:sysClr val="windowText" lastClr="000000"/>
              </a:solidFill>
            </a:rPr>
            <a:t>Ves a full anterior</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476250</xdr:colOff>
      <xdr:row>3</xdr:row>
      <xdr:rowOff>238125</xdr:rowOff>
    </xdr:from>
    <xdr:to>
      <xdr:col>0</xdr:col>
      <xdr:colOff>2657475</xdr:colOff>
      <xdr:row>3</xdr:row>
      <xdr:rowOff>641446</xdr:rowOff>
    </xdr:to>
    <xdr:pic>
      <xdr:nvPicPr>
        <xdr:cNvPr id="7" name="Imatge 6">
          <a:extLst>
            <a:ext uri="{FF2B5EF4-FFF2-40B4-BE49-F238E27FC236}">
              <a16:creationId xmlns:a16="http://schemas.microsoft.com/office/drawing/2014/main" id="{C62F9464-3E4E-4156-91D5-50A0CDDA191D}"/>
            </a:ext>
          </a:extLst>
        </xdr:cNvPr>
        <xdr:cNvPicPr>
          <a:picLocks noChangeAspect="1"/>
        </xdr:cNvPicPr>
      </xdr:nvPicPr>
      <xdr:blipFill>
        <a:blip xmlns:r="http://schemas.openxmlformats.org/officeDocument/2006/relationships" r:embed="rId1"/>
        <a:stretch>
          <a:fillRect/>
        </a:stretch>
      </xdr:blipFill>
      <xdr:spPr>
        <a:xfrm>
          <a:off x="476250" y="742950"/>
          <a:ext cx="2181225" cy="403321"/>
        </a:xfrm>
        <a:prstGeom prst="rect">
          <a:avLst/>
        </a:prstGeom>
      </xdr:spPr>
    </xdr:pic>
    <xdr:clientData/>
  </xdr:twoCellAnchor>
  <xdr:twoCellAnchor editAs="oneCell">
    <xdr:from>
      <xdr:col>1</xdr:col>
      <xdr:colOff>85725</xdr:colOff>
      <xdr:row>3</xdr:row>
      <xdr:rowOff>285749</xdr:rowOff>
    </xdr:from>
    <xdr:to>
      <xdr:col>1</xdr:col>
      <xdr:colOff>2989708</xdr:colOff>
      <xdr:row>3</xdr:row>
      <xdr:rowOff>638174</xdr:rowOff>
    </xdr:to>
    <xdr:pic>
      <xdr:nvPicPr>
        <xdr:cNvPr id="8" name="Imatge 7">
          <a:extLst>
            <a:ext uri="{FF2B5EF4-FFF2-40B4-BE49-F238E27FC236}">
              <a16:creationId xmlns:a16="http://schemas.microsoft.com/office/drawing/2014/main" id="{0F2CEA11-4E7B-42CA-AB07-42BE66FE9042}"/>
            </a:ext>
          </a:extLst>
        </xdr:cNvPr>
        <xdr:cNvPicPr>
          <a:picLocks noChangeAspect="1"/>
        </xdr:cNvPicPr>
      </xdr:nvPicPr>
      <xdr:blipFill>
        <a:blip xmlns:r="http://schemas.openxmlformats.org/officeDocument/2006/relationships" r:embed="rId2"/>
        <a:stretch>
          <a:fillRect/>
        </a:stretch>
      </xdr:blipFill>
      <xdr:spPr>
        <a:xfrm>
          <a:off x="3381375" y="790574"/>
          <a:ext cx="2903983" cy="352425"/>
        </a:xfrm>
        <a:prstGeom prst="rect">
          <a:avLst/>
        </a:prstGeom>
      </xdr:spPr>
    </xdr:pic>
    <xdr:clientData/>
  </xdr:twoCellAnchor>
  <xdr:twoCellAnchor editAs="oneCell">
    <xdr:from>
      <xdr:col>1</xdr:col>
      <xdr:colOff>85725</xdr:colOff>
      <xdr:row>5</xdr:row>
      <xdr:rowOff>38100</xdr:rowOff>
    </xdr:from>
    <xdr:to>
      <xdr:col>1</xdr:col>
      <xdr:colOff>2922444</xdr:colOff>
      <xdr:row>6</xdr:row>
      <xdr:rowOff>104775</xdr:rowOff>
    </xdr:to>
    <xdr:pic>
      <xdr:nvPicPr>
        <xdr:cNvPr id="9" name="Imatge 8">
          <a:extLst>
            <a:ext uri="{FF2B5EF4-FFF2-40B4-BE49-F238E27FC236}">
              <a16:creationId xmlns:a16="http://schemas.microsoft.com/office/drawing/2014/main" id="{516F9D46-6CD6-4FC5-AAFE-BB6450FECBAF}"/>
            </a:ext>
          </a:extLst>
        </xdr:cNvPr>
        <xdr:cNvPicPr>
          <a:picLocks noChangeAspect="1"/>
        </xdr:cNvPicPr>
      </xdr:nvPicPr>
      <xdr:blipFill>
        <a:blip xmlns:r="http://schemas.openxmlformats.org/officeDocument/2006/relationships" r:embed="rId3"/>
        <a:stretch>
          <a:fillRect/>
        </a:stretch>
      </xdr:blipFill>
      <xdr:spPr>
        <a:xfrm>
          <a:off x="3381375" y="1419225"/>
          <a:ext cx="2836719" cy="371475"/>
        </a:xfrm>
        <a:prstGeom prst="rect">
          <a:avLst/>
        </a:prstGeom>
      </xdr:spPr>
    </xdr:pic>
    <xdr:clientData/>
  </xdr:twoCellAnchor>
  <xdr:twoCellAnchor editAs="oneCell">
    <xdr:from>
      <xdr:col>0</xdr:col>
      <xdr:colOff>3286125</xdr:colOff>
      <xdr:row>7</xdr:row>
      <xdr:rowOff>57150</xdr:rowOff>
    </xdr:from>
    <xdr:to>
      <xdr:col>1</xdr:col>
      <xdr:colOff>3000375</xdr:colOff>
      <xdr:row>8</xdr:row>
      <xdr:rowOff>90700</xdr:rowOff>
    </xdr:to>
    <xdr:pic>
      <xdr:nvPicPr>
        <xdr:cNvPr id="11" name="Imatge 10">
          <a:extLst>
            <a:ext uri="{FF2B5EF4-FFF2-40B4-BE49-F238E27FC236}">
              <a16:creationId xmlns:a16="http://schemas.microsoft.com/office/drawing/2014/main" id="{6C6213AA-F7AD-404C-972A-99DFB32AAF1F}"/>
            </a:ext>
          </a:extLst>
        </xdr:cNvPr>
        <xdr:cNvPicPr>
          <a:picLocks noChangeAspect="1"/>
        </xdr:cNvPicPr>
      </xdr:nvPicPr>
      <xdr:blipFill>
        <a:blip xmlns:r="http://schemas.openxmlformats.org/officeDocument/2006/relationships" r:embed="rId4"/>
        <a:stretch>
          <a:fillRect/>
        </a:stretch>
      </xdr:blipFill>
      <xdr:spPr>
        <a:xfrm>
          <a:off x="3286125" y="1895475"/>
          <a:ext cx="3009900" cy="338350"/>
        </a:xfrm>
        <a:prstGeom prst="rect">
          <a:avLst/>
        </a:prstGeom>
      </xdr:spPr>
    </xdr:pic>
    <xdr:clientData/>
  </xdr:twoCellAnchor>
  <xdr:twoCellAnchor editAs="oneCell">
    <xdr:from>
      <xdr:col>1</xdr:col>
      <xdr:colOff>352425</xdr:colOff>
      <xdr:row>9</xdr:row>
      <xdr:rowOff>47625</xdr:rowOff>
    </xdr:from>
    <xdr:to>
      <xdr:col>1</xdr:col>
      <xdr:colOff>2790825</xdr:colOff>
      <xdr:row>10</xdr:row>
      <xdr:rowOff>269257</xdr:rowOff>
    </xdr:to>
    <xdr:pic>
      <xdr:nvPicPr>
        <xdr:cNvPr id="12" name="Imatge 11">
          <a:extLst>
            <a:ext uri="{FF2B5EF4-FFF2-40B4-BE49-F238E27FC236}">
              <a16:creationId xmlns:a16="http://schemas.microsoft.com/office/drawing/2014/main" id="{D72620F6-7AB2-40EF-80FE-E0F38C0EDE33}"/>
            </a:ext>
          </a:extLst>
        </xdr:cNvPr>
        <xdr:cNvPicPr>
          <a:picLocks noChangeAspect="1"/>
        </xdr:cNvPicPr>
      </xdr:nvPicPr>
      <xdr:blipFill>
        <a:blip xmlns:r="http://schemas.openxmlformats.org/officeDocument/2006/relationships" r:embed="rId5"/>
        <a:stretch>
          <a:fillRect/>
        </a:stretch>
      </xdr:blipFill>
      <xdr:spPr>
        <a:xfrm>
          <a:off x="3648075" y="2324100"/>
          <a:ext cx="2438400" cy="37403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29</xdr:col>
      <xdr:colOff>809625</xdr:colOff>
      <xdr:row>5</xdr:row>
      <xdr:rowOff>78177</xdr:rowOff>
    </xdr:from>
    <xdr:to>
      <xdr:col>29</xdr:col>
      <xdr:colOff>1543050</xdr:colOff>
      <xdr:row>7</xdr:row>
      <xdr:rowOff>1471</xdr:rowOff>
    </xdr:to>
    <xdr:pic>
      <xdr:nvPicPr>
        <xdr:cNvPr id="4" name="Imatge 3">
          <a:extLst>
            <a:ext uri="{FF2B5EF4-FFF2-40B4-BE49-F238E27FC236}">
              <a16:creationId xmlns:a16="http://schemas.microsoft.com/office/drawing/2014/main" id="{11F52BFC-5688-040F-C026-5C59978E5020}"/>
            </a:ext>
          </a:extLst>
        </xdr:cNvPr>
        <xdr:cNvPicPr>
          <a:picLocks noChangeAspect="1"/>
        </xdr:cNvPicPr>
      </xdr:nvPicPr>
      <xdr:blipFill>
        <a:blip xmlns:r="http://schemas.openxmlformats.org/officeDocument/2006/relationships" r:embed="rId1"/>
        <a:stretch>
          <a:fillRect/>
        </a:stretch>
      </xdr:blipFill>
      <xdr:spPr>
        <a:xfrm>
          <a:off x="17583150" y="1030677"/>
          <a:ext cx="733425" cy="304294"/>
        </a:xfrm>
        <a:prstGeom prst="rect">
          <a:avLst/>
        </a:prstGeom>
      </xdr:spPr>
    </xdr:pic>
    <xdr:clientData/>
  </xdr:twoCellAnchor>
  <xdr:twoCellAnchor editAs="oneCell">
    <xdr:from>
      <xdr:col>30</xdr:col>
      <xdr:colOff>552450</xdr:colOff>
      <xdr:row>14</xdr:row>
      <xdr:rowOff>171450</xdr:rowOff>
    </xdr:from>
    <xdr:to>
      <xdr:col>30</xdr:col>
      <xdr:colOff>2905453</xdr:colOff>
      <xdr:row>16</xdr:row>
      <xdr:rowOff>200082</xdr:rowOff>
    </xdr:to>
    <xdr:pic>
      <xdr:nvPicPr>
        <xdr:cNvPr id="5" name="Imatge 4">
          <a:extLst>
            <a:ext uri="{FF2B5EF4-FFF2-40B4-BE49-F238E27FC236}">
              <a16:creationId xmlns:a16="http://schemas.microsoft.com/office/drawing/2014/main" id="{4736DF5A-648C-47B5-9D3D-4F9238191863}"/>
            </a:ext>
          </a:extLst>
        </xdr:cNvPr>
        <xdr:cNvPicPr>
          <a:picLocks noChangeAspect="1"/>
        </xdr:cNvPicPr>
      </xdr:nvPicPr>
      <xdr:blipFill>
        <a:blip xmlns:r="http://schemas.openxmlformats.org/officeDocument/2006/relationships" r:embed="rId2"/>
        <a:stretch>
          <a:fillRect/>
        </a:stretch>
      </xdr:blipFill>
      <xdr:spPr>
        <a:xfrm>
          <a:off x="18897600" y="2838450"/>
          <a:ext cx="2353003" cy="409632"/>
        </a:xfrm>
        <a:prstGeom prst="rect">
          <a:avLst/>
        </a:prstGeom>
      </xdr:spPr>
    </xdr:pic>
    <xdr:clientData/>
  </xdr:twoCellAnchor>
  <xdr:twoCellAnchor>
    <xdr:from>
      <xdr:col>36</xdr:col>
      <xdr:colOff>190500</xdr:colOff>
      <xdr:row>5</xdr:row>
      <xdr:rowOff>0</xdr:rowOff>
    </xdr:from>
    <xdr:to>
      <xdr:col>40</xdr:col>
      <xdr:colOff>819150</xdr:colOff>
      <xdr:row>5</xdr:row>
      <xdr:rowOff>0</xdr:rowOff>
    </xdr:to>
    <xdr:cxnSp macro="">
      <xdr:nvCxnSpPr>
        <xdr:cNvPr id="6" name="Connector recte 5">
          <a:extLst>
            <a:ext uri="{FF2B5EF4-FFF2-40B4-BE49-F238E27FC236}">
              <a16:creationId xmlns:a16="http://schemas.microsoft.com/office/drawing/2014/main" id="{F4FE8859-5F6D-9046-3A8B-46F552C495C1}"/>
            </a:ext>
          </a:extLst>
        </xdr:cNvPr>
        <xdr:cNvCxnSpPr/>
      </xdr:nvCxnSpPr>
      <xdr:spPr>
        <a:xfrm>
          <a:off x="24917400" y="952500"/>
          <a:ext cx="3067050" cy="0"/>
        </a:xfrm>
        <a:prstGeom prst="line">
          <a:avLst/>
        </a:prstGeom>
        <a:ln w="9525"/>
      </xdr:spPr>
      <xdr:style>
        <a:lnRef idx="2">
          <a:schemeClr val="dk1"/>
        </a:lnRef>
        <a:fillRef idx="0">
          <a:schemeClr val="dk1"/>
        </a:fillRef>
        <a:effectRef idx="1">
          <a:schemeClr val="dk1"/>
        </a:effectRef>
        <a:fontRef idx="minor">
          <a:schemeClr val="tx1"/>
        </a:fontRef>
      </xdr:style>
    </xdr:cxnSp>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ici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20D11-09F7-4A51-B647-06E8DE228A81}">
  <dimension ref="A4:P26"/>
  <sheetViews>
    <sheetView showGridLines="0" workbookViewId="0"/>
  </sheetViews>
  <sheetFormatPr defaultRowHeight="14.5" x14ac:dyDescent="0.35"/>
  <cols>
    <col min="4" max="4" width="85.1796875" customWidth="1"/>
  </cols>
  <sheetData>
    <row r="4" spans="1:11" ht="26" x14ac:dyDescent="0.6">
      <c r="D4" s="1" t="s">
        <v>0</v>
      </c>
    </row>
    <row r="7" spans="1:11" x14ac:dyDescent="0.35">
      <c r="C7" s="22"/>
      <c r="D7" s="2" t="s">
        <v>1</v>
      </c>
    </row>
    <row r="9" spans="1:11" ht="15.5" x14ac:dyDescent="0.35">
      <c r="D9" s="3"/>
    </row>
    <row r="10" spans="1:11" ht="23.5" x14ac:dyDescent="0.55000000000000004">
      <c r="A10" s="4"/>
      <c r="B10" s="4"/>
      <c r="C10" s="4"/>
      <c r="D10" s="118" t="s">
        <v>2</v>
      </c>
      <c r="E10" s="4"/>
      <c r="F10" s="4"/>
      <c r="G10" s="4"/>
      <c r="H10" s="4"/>
    </row>
    <row r="11" spans="1:11" ht="23.5" x14ac:dyDescent="0.55000000000000004">
      <c r="A11" s="4"/>
      <c r="B11" s="4"/>
      <c r="C11" s="4"/>
      <c r="D11" s="119"/>
      <c r="E11" s="4"/>
      <c r="F11" s="4"/>
      <c r="G11" s="4"/>
      <c r="H11" s="4"/>
    </row>
    <row r="12" spans="1:11" ht="23.5" x14ac:dyDescent="0.55000000000000004">
      <c r="A12" s="4"/>
      <c r="B12" s="4"/>
      <c r="C12" s="4"/>
      <c r="D12" s="118" t="s">
        <v>3</v>
      </c>
      <c r="E12" s="4"/>
      <c r="F12" s="4"/>
      <c r="G12" s="4"/>
      <c r="H12" s="4"/>
      <c r="K12" t="s">
        <v>4</v>
      </c>
    </row>
    <row r="13" spans="1:11" ht="23.5" x14ac:dyDescent="0.55000000000000004">
      <c r="A13" s="4"/>
      <c r="B13" s="4"/>
      <c r="C13" s="4"/>
      <c r="D13" s="119"/>
      <c r="E13" s="4"/>
      <c r="F13" s="4"/>
      <c r="G13" s="4"/>
      <c r="H13" s="4"/>
    </row>
    <row r="14" spans="1:11" ht="23.5" x14ac:dyDescent="0.55000000000000004">
      <c r="A14" s="4"/>
      <c r="B14" s="4"/>
      <c r="C14" s="4"/>
      <c r="D14" s="118" t="s">
        <v>5</v>
      </c>
      <c r="E14" s="4"/>
      <c r="F14" s="4"/>
      <c r="G14" s="4"/>
      <c r="H14" s="4"/>
      <c r="J14" s="4"/>
    </row>
    <row r="15" spans="1:11" ht="23.5" x14ac:dyDescent="0.55000000000000004">
      <c r="A15" s="4"/>
      <c r="B15" s="4"/>
      <c r="C15" s="4"/>
      <c r="D15" s="119"/>
      <c r="E15" s="4"/>
      <c r="F15" s="4"/>
      <c r="G15" s="4"/>
      <c r="H15" s="4"/>
      <c r="J15" s="4"/>
    </row>
    <row r="16" spans="1:11" ht="23.5" x14ac:dyDescent="0.55000000000000004">
      <c r="A16" s="4"/>
      <c r="B16" s="4"/>
      <c r="C16" s="4"/>
      <c r="D16" s="118" t="s">
        <v>6</v>
      </c>
      <c r="E16" s="4"/>
      <c r="F16" s="4"/>
      <c r="G16" s="4"/>
      <c r="H16" s="4"/>
      <c r="J16" s="4"/>
    </row>
    <row r="17" spans="1:16" ht="23.5" x14ac:dyDescent="0.55000000000000004">
      <c r="A17" s="4"/>
      <c r="B17" s="4"/>
      <c r="C17" s="4"/>
      <c r="D17" s="119"/>
      <c r="E17" s="4"/>
      <c r="F17" s="4"/>
      <c r="G17" s="4"/>
      <c r="H17" s="4"/>
      <c r="J17" s="4"/>
    </row>
    <row r="18" spans="1:16" ht="23.5" x14ac:dyDescent="0.55000000000000004">
      <c r="A18" s="4"/>
      <c r="B18" s="4"/>
      <c r="C18" s="4"/>
      <c r="D18" s="118" t="s">
        <v>7</v>
      </c>
      <c r="E18" s="4"/>
      <c r="F18" s="4"/>
      <c r="G18" s="4"/>
      <c r="H18" s="4"/>
      <c r="J18" s="4"/>
    </row>
    <row r="19" spans="1:16" ht="23.5" x14ac:dyDescent="0.55000000000000004">
      <c r="A19" s="4"/>
      <c r="B19" s="4"/>
      <c r="C19" s="4"/>
      <c r="D19" s="119"/>
      <c r="E19" s="4"/>
      <c r="F19" s="4"/>
      <c r="G19" s="4"/>
      <c r="H19" s="4"/>
      <c r="J19" s="4"/>
      <c r="K19" s="4"/>
      <c r="L19" s="4"/>
      <c r="M19" s="4"/>
    </row>
    <row r="20" spans="1:16" ht="21" x14ac:dyDescent="0.5">
      <c r="A20" s="4"/>
      <c r="B20" s="4"/>
      <c r="C20" s="4"/>
      <c r="D20" s="5"/>
      <c r="E20" s="4"/>
      <c r="F20" s="4"/>
      <c r="G20" s="4"/>
      <c r="H20" s="4"/>
      <c r="I20" s="4"/>
      <c r="J20" s="4"/>
      <c r="K20" s="4"/>
      <c r="L20" s="4"/>
      <c r="M20" s="4"/>
    </row>
    <row r="21" spans="1:16" ht="21" x14ac:dyDescent="0.5">
      <c r="A21" s="4"/>
      <c r="B21" s="4"/>
      <c r="C21" s="4"/>
      <c r="D21" s="4"/>
      <c r="E21" s="4"/>
      <c r="F21" s="4"/>
      <c r="G21" s="4"/>
      <c r="H21" s="4"/>
      <c r="I21" s="4"/>
      <c r="J21" s="4"/>
      <c r="K21" s="4"/>
      <c r="L21" s="4"/>
      <c r="M21" s="4"/>
    </row>
    <row r="22" spans="1:16" ht="21" x14ac:dyDescent="0.5">
      <c r="A22" s="4"/>
      <c r="B22" s="4"/>
      <c r="C22" s="4"/>
      <c r="D22" s="5"/>
      <c r="E22" s="4"/>
      <c r="F22" s="4"/>
      <c r="G22" s="4"/>
      <c r="H22" s="4"/>
      <c r="I22" s="4"/>
      <c r="J22" s="4"/>
      <c r="K22" s="4"/>
      <c r="L22" s="4"/>
      <c r="M22" s="4"/>
    </row>
    <row r="23" spans="1:16" ht="21" x14ac:dyDescent="0.5">
      <c r="A23" s="4"/>
      <c r="B23" s="4"/>
      <c r="C23" s="4"/>
      <c r="D23" s="4"/>
      <c r="E23" s="4"/>
      <c r="F23" s="4"/>
      <c r="G23" s="4"/>
      <c r="H23" s="4"/>
      <c r="I23" s="4"/>
      <c r="J23" s="4"/>
      <c r="K23" s="4"/>
      <c r="L23" s="4"/>
      <c r="M23" s="4"/>
    </row>
    <row r="24" spans="1:16" ht="21" x14ac:dyDescent="0.5">
      <c r="A24" s="4"/>
      <c r="B24" s="4"/>
      <c r="C24" s="4"/>
      <c r="D24" s="5"/>
      <c r="E24" s="4"/>
      <c r="F24" s="4"/>
      <c r="G24" s="4"/>
      <c r="H24" s="4"/>
      <c r="I24" s="4"/>
      <c r="J24" s="4"/>
      <c r="K24" s="4"/>
      <c r="L24" s="4"/>
    </row>
    <row r="25" spans="1:16" ht="21" x14ac:dyDescent="0.5">
      <c r="A25" s="4"/>
      <c r="B25" s="4"/>
      <c r="C25" s="4"/>
      <c r="D25" s="4"/>
      <c r="E25" s="4"/>
      <c r="F25" s="4"/>
      <c r="G25" s="4"/>
      <c r="H25" s="4"/>
      <c r="I25" s="4"/>
      <c r="J25" s="4"/>
      <c r="K25" s="4"/>
      <c r="L25" s="4"/>
      <c r="M25" s="4"/>
      <c r="N25" s="4"/>
      <c r="O25" s="4"/>
      <c r="P25" s="4"/>
    </row>
    <row r="26" spans="1:16" ht="21" x14ac:dyDescent="0.5">
      <c r="A26" s="4"/>
      <c r="B26" s="4"/>
      <c r="C26" s="4"/>
      <c r="D26" s="4"/>
      <c r="E26" s="4"/>
      <c r="F26" s="4"/>
      <c r="G26" s="4"/>
      <c r="H26" s="4"/>
      <c r="I26" s="4"/>
      <c r="J26" s="4"/>
      <c r="K26" s="4"/>
      <c r="L26" s="4"/>
      <c r="M26" s="4"/>
      <c r="N26" s="4"/>
      <c r="O26" s="4"/>
      <c r="P26" s="4"/>
    </row>
  </sheetData>
  <sheetProtection sheet="1" objects="1" scenarios="1"/>
  <hyperlinks>
    <hyperlink ref="D10" location="'1. Dades instal·lació'!A1" display="Dades  de la instal·lació" xr:uid="{61D86578-BD9E-4280-A30F-FDB6807D7C7C}"/>
    <hyperlink ref="D12" location="'2. Dades econòmiques'!A1" display="Dades econòmiques" xr:uid="{435EC314-136F-412B-9DBF-4DDD46DB4C11}"/>
    <hyperlink ref="D14" location="'3. Resultats Escenaris'!A1" display="Resultats de cada escenari" xr:uid="{96FE12CB-A5D0-4114-A8D4-382A69F284DF}"/>
    <hyperlink ref="D18" location="memòria!A1" display="Memòria" xr:uid="{E0028CAE-A73D-45BF-AFE9-CC0AA4A25879}"/>
    <hyperlink ref="D16" location="'4. Escull escenari'!A1" display="Tria d'escenari" xr:uid="{A73017D9-191A-4B3C-BBAC-AEBBE7BFDCF3}"/>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E7542-E33F-42DB-A8A4-D617428D5C42}">
  <dimension ref="A1:K312"/>
  <sheetViews>
    <sheetView workbookViewId="0">
      <selection activeCell="M27" sqref="M27"/>
    </sheetView>
  </sheetViews>
  <sheetFormatPr defaultRowHeight="14.5" x14ac:dyDescent="0.35"/>
  <cols>
    <col min="1" max="1" width="19.1796875" customWidth="1"/>
    <col min="2" max="2" width="22.1796875" customWidth="1"/>
    <col min="9" max="9" width="33.7265625" customWidth="1"/>
  </cols>
  <sheetData>
    <row r="1" spans="1:11" x14ac:dyDescent="0.35">
      <c r="A1" t="s">
        <v>155</v>
      </c>
      <c r="B1" t="s">
        <v>156</v>
      </c>
      <c r="C1" t="s">
        <v>157</v>
      </c>
    </row>
    <row r="2" spans="1:11" x14ac:dyDescent="0.35">
      <c r="A2" t="s">
        <v>158</v>
      </c>
      <c r="B2">
        <v>1584.08</v>
      </c>
      <c r="C2">
        <v>8001</v>
      </c>
      <c r="I2" t="s">
        <v>159</v>
      </c>
      <c r="J2" t="s">
        <v>120</v>
      </c>
      <c r="K2" t="s">
        <v>160</v>
      </c>
    </row>
    <row r="3" spans="1:11" x14ac:dyDescent="0.35">
      <c r="A3" t="s">
        <v>161</v>
      </c>
      <c r="B3">
        <v>1572.12</v>
      </c>
      <c r="C3">
        <v>8002</v>
      </c>
      <c r="I3" t="s">
        <v>64</v>
      </c>
      <c r="J3" t="s">
        <v>64</v>
      </c>
      <c r="K3" t="s">
        <v>162</v>
      </c>
    </row>
    <row r="4" spans="1:11" x14ac:dyDescent="0.35">
      <c r="A4" t="s">
        <v>163</v>
      </c>
      <c r="B4">
        <v>1555.07</v>
      </c>
      <c r="C4">
        <v>8003</v>
      </c>
    </row>
    <row r="5" spans="1:11" x14ac:dyDescent="0.35">
      <c r="A5" t="s">
        <v>14</v>
      </c>
      <c r="B5">
        <v>1509.08</v>
      </c>
      <c r="C5">
        <v>8004</v>
      </c>
    </row>
    <row r="6" spans="1:11" x14ac:dyDescent="0.35">
      <c r="A6" t="s">
        <v>164</v>
      </c>
      <c r="B6">
        <v>1566.79</v>
      </c>
      <c r="C6">
        <v>8005</v>
      </c>
      <c r="I6" t="s">
        <v>20</v>
      </c>
    </row>
    <row r="7" spans="1:11" x14ac:dyDescent="0.35">
      <c r="A7" t="s">
        <v>165</v>
      </c>
      <c r="B7">
        <v>1537.9</v>
      </c>
      <c r="C7">
        <v>8006</v>
      </c>
      <c r="I7" t="s">
        <v>21</v>
      </c>
    </row>
    <row r="8" spans="1:11" x14ac:dyDescent="0.35">
      <c r="A8" t="s">
        <v>166</v>
      </c>
      <c r="B8">
        <v>1541.38</v>
      </c>
      <c r="C8">
        <v>8007</v>
      </c>
      <c r="I8" t="s">
        <v>22</v>
      </c>
    </row>
    <row r="9" spans="1:11" x14ac:dyDescent="0.35">
      <c r="A9" t="s">
        <v>167</v>
      </c>
      <c r="B9">
        <v>1552.22</v>
      </c>
      <c r="C9">
        <v>8008</v>
      </c>
    </row>
    <row r="10" spans="1:11" x14ac:dyDescent="0.35">
      <c r="A10" t="s">
        <v>168</v>
      </c>
      <c r="B10">
        <v>1555.32</v>
      </c>
      <c r="C10">
        <v>8009</v>
      </c>
    </row>
    <row r="11" spans="1:11" x14ac:dyDescent="0.35">
      <c r="A11" t="s">
        <v>169</v>
      </c>
      <c r="B11">
        <v>1538.62</v>
      </c>
      <c r="C11">
        <v>8010</v>
      </c>
      <c r="I11" t="s">
        <v>170</v>
      </c>
      <c r="J11" t="s">
        <v>171</v>
      </c>
    </row>
    <row r="12" spans="1:11" x14ac:dyDescent="0.35">
      <c r="A12" t="s">
        <v>172</v>
      </c>
      <c r="B12">
        <v>1562.77</v>
      </c>
      <c r="C12">
        <v>8011</v>
      </c>
      <c r="I12" t="s">
        <v>117</v>
      </c>
      <c r="J12" t="s">
        <v>173</v>
      </c>
    </row>
    <row r="13" spans="1:11" x14ac:dyDescent="0.35">
      <c r="A13" t="s">
        <v>174</v>
      </c>
      <c r="B13">
        <v>1554.47</v>
      </c>
      <c r="C13">
        <v>8012</v>
      </c>
    </row>
    <row r="14" spans="1:11" x14ac:dyDescent="0.35">
      <c r="A14" t="s">
        <v>175</v>
      </c>
      <c r="B14">
        <v>1561.07</v>
      </c>
      <c r="C14">
        <v>8013</v>
      </c>
    </row>
    <row r="15" spans="1:11" x14ac:dyDescent="0.35">
      <c r="A15" t="s">
        <v>176</v>
      </c>
      <c r="B15">
        <v>1476.68</v>
      </c>
      <c r="C15">
        <v>8014</v>
      </c>
    </row>
    <row r="16" spans="1:11" x14ac:dyDescent="0.35">
      <c r="A16" t="s">
        <v>177</v>
      </c>
      <c r="B16">
        <v>1577.88</v>
      </c>
      <c r="C16">
        <v>8015</v>
      </c>
    </row>
    <row r="17" spans="1:3" x14ac:dyDescent="0.35">
      <c r="A17" t="s">
        <v>178</v>
      </c>
      <c r="B17">
        <v>1546.01</v>
      </c>
      <c r="C17">
        <v>8016</v>
      </c>
    </row>
    <row r="18" spans="1:3" x14ac:dyDescent="0.35">
      <c r="A18" t="s">
        <v>179</v>
      </c>
      <c r="B18">
        <v>1532.09</v>
      </c>
      <c r="C18">
        <v>8017</v>
      </c>
    </row>
    <row r="19" spans="1:3" x14ac:dyDescent="0.35">
      <c r="A19" t="s">
        <v>180</v>
      </c>
      <c r="B19">
        <v>1577.18</v>
      </c>
      <c r="C19">
        <v>8018</v>
      </c>
    </row>
    <row r="20" spans="1:3" x14ac:dyDescent="0.35">
      <c r="A20" t="s">
        <v>181</v>
      </c>
      <c r="B20">
        <v>1560.21</v>
      </c>
      <c r="C20">
        <v>8019</v>
      </c>
    </row>
    <row r="21" spans="1:3" x14ac:dyDescent="0.35">
      <c r="A21" t="s">
        <v>182</v>
      </c>
      <c r="B21">
        <v>1571.69</v>
      </c>
      <c r="C21">
        <v>8020</v>
      </c>
    </row>
    <row r="22" spans="1:3" x14ac:dyDescent="0.35">
      <c r="A22" t="s">
        <v>183</v>
      </c>
      <c r="B22">
        <v>1563.67</v>
      </c>
      <c r="C22">
        <v>8021</v>
      </c>
    </row>
    <row r="23" spans="1:3" x14ac:dyDescent="0.35">
      <c r="A23" t="s">
        <v>184</v>
      </c>
      <c r="B23">
        <v>1531.18</v>
      </c>
      <c r="C23">
        <v>8022</v>
      </c>
    </row>
    <row r="24" spans="1:3" x14ac:dyDescent="0.35">
      <c r="A24" t="s">
        <v>185</v>
      </c>
      <c r="B24">
        <v>1556.35</v>
      </c>
      <c r="C24">
        <v>8023</v>
      </c>
    </row>
    <row r="25" spans="1:3" x14ac:dyDescent="0.35">
      <c r="A25" t="s">
        <v>186</v>
      </c>
      <c r="B25">
        <v>1515.2</v>
      </c>
      <c r="C25">
        <v>8024</v>
      </c>
    </row>
    <row r="26" spans="1:3" x14ac:dyDescent="0.35">
      <c r="A26" t="s">
        <v>187</v>
      </c>
      <c r="B26">
        <v>1570.72</v>
      </c>
      <c r="C26">
        <v>8025</v>
      </c>
    </row>
    <row r="27" spans="1:3" x14ac:dyDescent="0.35">
      <c r="A27" t="s">
        <v>188</v>
      </c>
      <c r="B27">
        <v>1420.11</v>
      </c>
      <c r="C27">
        <v>8026</v>
      </c>
    </row>
    <row r="28" spans="1:3" x14ac:dyDescent="0.35">
      <c r="A28" t="s">
        <v>189</v>
      </c>
      <c r="B28">
        <v>1580.73</v>
      </c>
      <c r="C28">
        <v>8027</v>
      </c>
    </row>
    <row r="29" spans="1:3" x14ac:dyDescent="0.35">
      <c r="A29" t="s">
        <v>190</v>
      </c>
      <c r="B29">
        <v>1602.86</v>
      </c>
      <c r="C29">
        <v>8028</v>
      </c>
    </row>
    <row r="30" spans="1:3" x14ac:dyDescent="0.35">
      <c r="A30" t="s">
        <v>191</v>
      </c>
      <c r="B30">
        <v>1542.96</v>
      </c>
      <c r="C30">
        <v>8029</v>
      </c>
    </row>
    <row r="31" spans="1:3" x14ac:dyDescent="0.35">
      <c r="A31" t="s">
        <v>192</v>
      </c>
      <c r="B31">
        <v>1536.55</v>
      </c>
      <c r="C31">
        <v>8030</v>
      </c>
    </row>
    <row r="32" spans="1:3" x14ac:dyDescent="0.35">
      <c r="A32" t="s">
        <v>193</v>
      </c>
      <c r="B32">
        <v>1574.74</v>
      </c>
      <c r="C32">
        <v>8031</v>
      </c>
    </row>
    <row r="33" spans="1:3" x14ac:dyDescent="0.35">
      <c r="A33" t="s">
        <v>194</v>
      </c>
      <c r="B33">
        <v>1511.75</v>
      </c>
      <c r="C33">
        <v>8032</v>
      </c>
    </row>
    <row r="34" spans="1:3" x14ac:dyDescent="0.35">
      <c r="A34" t="s">
        <v>195</v>
      </c>
      <c r="B34">
        <v>1570.38</v>
      </c>
      <c r="C34">
        <v>8033</v>
      </c>
    </row>
    <row r="35" spans="1:3" x14ac:dyDescent="0.35">
      <c r="A35" t="s">
        <v>196</v>
      </c>
      <c r="B35">
        <v>1534.47</v>
      </c>
      <c r="C35">
        <v>8034</v>
      </c>
    </row>
    <row r="36" spans="1:3" x14ac:dyDescent="0.35">
      <c r="A36" t="s">
        <v>197</v>
      </c>
      <c r="B36">
        <v>1537.94</v>
      </c>
      <c r="C36">
        <v>8035</v>
      </c>
    </row>
    <row r="37" spans="1:3" x14ac:dyDescent="0.35">
      <c r="A37" t="s">
        <v>198</v>
      </c>
      <c r="B37">
        <v>1576.86</v>
      </c>
      <c r="C37">
        <v>8036</v>
      </c>
    </row>
    <row r="38" spans="1:3" x14ac:dyDescent="0.35">
      <c r="A38" t="s">
        <v>199</v>
      </c>
      <c r="B38">
        <v>1525.76</v>
      </c>
      <c r="C38">
        <v>8037</v>
      </c>
    </row>
    <row r="39" spans="1:3" x14ac:dyDescent="0.35">
      <c r="A39" t="s">
        <v>200</v>
      </c>
      <c r="B39">
        <v>1593.57</v>
      </c>
      <c r="C39">
        <v>8038</v>
      </c>
    </row>
    <row r="40" spans="1:3" x14ac:dyDescent="0.35">
      <c r="A40" t="s">
        <v>201</v>
      </c>
      <c r="B40">
        <v>1275.3</v>
      </c>
      <c r="C40">
        <v>8039</v>
      </c>
    </row>
    <row r="41" spans="1:3" x14ac:dyDescent="0.35">
      <c r="A41" t="s">
        <v>202</v>
      </c>
      <c r="B41">
        <v>1540.17</v>
      </c>
      <c r="C41">
        <v>8040</v>
      </c>
    </row>
    <row r="42" spans="1:3" x14ac:dyDescent="0.35">
      <c r="A42" t="s">
        <v>203</v>
      </c>
      <c r="B42">
        <v>1575.08</v>
      </c>
      <c r="C42">
        <v>8041</v>
      </c>
    </row>
    <row r="43" spans="1:3" x14ac:dyDescent="0.35">
      <c r="A43" t="s">
        <v>204</v>
      </c>
      <c r="B43">
        <v>1554.87</v>
      </c>
      <c r="C43">
        <v>8042</v>
      </c>
    </row>
    <row r="44" spans="1:3" x14ac:dyDescent="0.35">
      <c r="A44" t="s">
        <v>205</v>
      </c>
      <c r="B44">
        <v>1619.84</v>
      </c>
      <c r="C44">
        <v>8043</v>
      </c>
    </row>
    <row r="45" spans="1:3" x14ac:dyDescent="0.35">
      <c r="A45" t="s">
        <v>206</v>
      </c>
      <c r="B45">
        <v>1502.48</v>
      </c>
      <c r="C45">
        <v>8044</v>
      </c>
    </row>
    <row r="46" spans="1:3" x14ac:dyDescent="0.35">
      <c r="A46" t="s">
        <v>207</v>
      </c>
      <c r="B46">
        <v>1571.38</v>
      </c>
      <c r="C46">
        <v>8045</v>
      </c>
    </row>
    <row r="47" spans="1:3" x14ac:dyDescent="0.35">
      <c r="A47" t="s">
        <v>208</v>
      </c>
      <c r="B47">
        <v>1539.01</v>
      </c>
      <c r="C47">
        <v>8046</v>
      </c>
    </row>
    <row r="48" spans="1:3" x14ac:dyDescent="0.35">
      <c r="A48" t="s">
        <v>209</v>
      </c>
      <c r="B48">
        <v>1433.62</v>
      </c>
      <c r="C48">
        <v>8047</v>
      </c>
    </row>
    <row r="49" spans="1:3" x14ac:dyDescent="0.35">
      <c r="A49" t="s">
        <v>210</v>
      </c>
      <c r="B49">
        <v>1536.39</v>
      </c>
      <c r="C49">
        <v>8048</v>
      </c>
    </row>
    <row r="50" spans="1:3" x14ac:dyDescent="0.35">
      <c r="A50" t="s">
        <v>211</v>
      </c>
      <c r="B50">
        <v>1582.22</v>
      </c>
      <c r="C50">
        <v>8049</v>
      </c>
    </row>
    <row r="51" spans="1:3" x14ac:dyDescent="0.35">
      <c r="A51" t="s">
        <v>212</v>
      </c>
      <c r="B51">
        <v>1502.83</v>
      </c>
      <c r="C51">
        <v>8050</v>
      </c>
    </row>
    <row r="52" spans="1:3" x14ac:dyDescent="0.35">
      <c r="A52" t="s">
        <v>213</v>
      </c>
      <c r="B52">
        <v>1556</v>
      </c>
      <c r="C52">
        <v>8051</v>
      </c>
    </row>
    <row r="53" spans="1:3" x14ac:dyDescent="0.35">
      <c r="A53" t="s">
        <v>214</v>
      </c>
      <c r="B53">
        <v>1524.4</v>
      </c>
      <c r="C53">
        <v>8052</v>
      </c>
    </row>
    <row r="54" spans="1:3" x14ac:dyDescent="0.35">
      <c r="A54" t="s">
        <v>215</v>
      </c>
      <c r="B54">
        <v>1529.22</v>
      </c>
      <c r="C54">
        <v>8053</v>
      </c>
    </row>
    <row r="55" spans="1:3" x14ac:dyDescent="0.35">
      <c r="A55" t="s">
        <v>216</v>
      </c>
      <c r="B55">
        <v>1570.71</v>
      </c>
      <c r="C55">
        <v>8054</v>
      </c>
    </row>
    <row r="56" spans="1:3" x14ac:dyDescent="0.35">
      <c r="A56" t="s">
        <v>217</v>
      </c>
      <c r="B56">
        <v>1488.28</v>
      </c>
      <c r="C56">
        <v>8055</v>
      </c>
    </row>
    <row r="57" spans="1:3" x14ac:dyDescent="0.35">
      <c r="A57" t="s">
        <v>218</v>
      </c>
      <c r="B57">
        <v>1595.84</v>
      </c>
      <c r="C57">
        <v>8056</v>
      </c>
    </row>
    <row r="58" spans="1:3" x14ac:dyDescent="0.35">
      <c r="A58" t="s">
        <v>219</v>
      </c>
      <c r="B58">
        <v>1471.24</v>
      </c>
      <c r="C58">
        <v>8057</v>
      </c>
    </row>
    <row r="59" spans="1:3" x14ac:dyDescent="0.35">
      <c r="A59" t="s">
        <v>220</v>
      </c>
      <c r="B59">
        <v>1618.72</v>
      </c>
      <c r="C59">
        <v>8058</v>
      </c>
    </row>
    <row r="60" spans="1:3" x14ac:dyDescent="0.35">
      <c r="A60" t="s">
        <v>221</v>
      </c>
      <c r="B60">
        <v>1565.44</v>
      </c>
      <c r="C60">
        <v>8059</v>
      </c>
    </row>
    <row r="61" spans="1:3" x14ac:dyDescent="0.35">
      <c r="A61" t="s">
        <v>222</v>
      </c>
      <c r="B61">
        <v>1529.59</v>
      </c>
      <c r="C61">
        <v>8060</v>
      </c>
    </row>
    <row r="62" spans="1:3" x14ac:dyDescent="0.35">
      <c r="A62" t="s">
        <v>223</v>
      </c>
      <c r="B62">
        <v>1531.7</v>
      </c>
      <c r="C62">
        <v>8061</v>
      </c>
    </row>
    <row r="63" spans="1:3" x14ac:dyDescent="0.35">
      <c r="A63" t="s">
        <v>224</v>
      </c>
      <c r="B63">
        <v>1592.46</v>
      </c>
      <c r="C63">
        <v>8062</v>
      </c>
    </row>
    <row r="64" spans="1:3" x14ac:dyDescent="0.35">
      <c r="A64" t="s">
        <v>225</v>
      </c>
      <c r="B64">
        <v>1553.62</v>
      </c>
      <c r="C64">
        <v>8063</v>
      </c>
    </row>
    <row r="65" spans="1:3" x14ac:dyDescent="0.35">
      <c r="A65" t="s">
        <v>226</v>
      </c>
      <c r="B65">
        <v>1485.48</v>
      </c>
      <c r="C65">
        <v>8064</v>
      </c>
    </row>
    <row r="66" spans="1:3" x14ac:dyDescent="0.35">
      <c r="A66" t="s">
        <v>227</v>
      </c>
      <c r="B66">
        <v>1602.51</v>
      </c>
      <c r="C66">
        <v>8065</v>
      </c>
    </row>
    <row r="67" spans="1:3" x14ac:dyDescent="0.35">
      <c r="A67" t="s">
        <v>228</v>
      </c>
      <c r="B67">
        <v>1495.07</v>
      </c>
      <c r="C67">
        <v>8066</v>
      </c>
    </row>
    <row r="68" spans="1:3" x14ac:dyDescent="0.35">
      <c r="A68" t="s">
        <v>229</v>
      </c>
      <c r="B68">
        <v>1465.73</v>
      </c>
      <c r="C68">
        <v>8067</v>
      </c>
    </row>
    <row r="69" spans="1:3" x14ac:dyDescent="0.35">
      <c r="A69" t="s">
        <v>230</v>
      </c>
      <c r="B69">
        <v>1568.46</v>
      </c>
      <c r="C69">
        <v>8068</v>
      </c>
    </row>
    <row r="70" spans="1:3" x14ac:dyDescent="0.35">
      <c r="A70" t="s">
        <v>231</v>
      </c>
      <c r="B70">
        <v>1569.67</v>
      </c>
      <c r="C70">
        <v>8069</v>
      </c>
    </row>
    <row r="71" spans="1:3" x14ac:dyDescent="0.35">
      <c r="A71" t="s">
        <v>232</v>
      </c>
      <c r="B71">
        <v>1511.52</v>
      </c>
      <c r="C71">
        <v>8070</v>
      </c>
    </row>
    <row r="72" spans="1:3" x14ac:dyDescent="0.35">
      <c r="A72" t="s">
        <v>233</v>
      </c>
      <c r="B72">
        <v>1563.83</v>
      </c>
      <c r="C72">
        <v>8071</v>
      </c>
    </row>
    <row r="73" spans="1:3" x14ac:dyDescent="0.35">
      <c r="A73" t="s">
        <v>234</v>
      </c>
      <c r="B73">
        <v>1512.14</v>
      </c>
      <c r="C73">
        <v>8072</v>
      </c>
    </row>
    <row r="74" spans="1:3" x14ac:dyDescent="0.35">
      <c r="A74" t="s">
        <v>235</v>
      </c>
      <c r="B74">
        <v>1625.78</v>
      </c>
      <c r="C74">
        <v>8073</v>
      </c>
    </row>
    <row r="75" spans="1:3" x14ac:dyDescent="0.35">
      <c r="A75" t="s">
        <v>236</v>
      </c>
      <c r="B75">
        <v>1595.02</v>
      </c>
      <c r="C75">
        <v>8074</v>
      </c>
    </row>
    <row r="76" spans="1:3" x14ac:dyDescent="0.35">
      <c r="A76" t="s">
        <v>237</v>
      </c>
      <c r="B76">
        <v>1552.49</v>
      </c>
      <c r="C76">
        <v>8075</v>
      </c>
    </row>
    <row r="77" spans="1:3" x14ac:dyDescent="0.35">
      <c r="A77" t="s">
        <v>238</v>
      </c>
      <c r="B77">
        <v>1581.04</v>
      </c>
      <c r="C77">
        <v>8076</v>
      </c>
    </row>
    <row r="78" spans="1:3" x14ac:dyDescent="0.35">
      <c r="A78" t="s">
        <v>239</v>
      </c>
      <c r="B78">
        <v>1620.26</v>
      </c>
      <c r="C78">
        <v>8077</v>
      </c>
    </row>
    <row r="79" spans="1:3" x14ac:dyDescent="0.35">
      <c r="A79" t="s">
        <v>240</v>
      </c>
      <c r="B79">
        <v>1572.95</v>
      </c>
      <c r="C79">
        <v>8078</v>
      </c>
    </row>
    <row r="80" spans="1:3" x14ac:dyDescent="0.35">
      <c r="A80" t="s">
        <v>241</v>
      </c>
      <c r="B80">
        <v>1512.2</v>
      </c>
      <c r="C80">
        <v>8079</v>
      </c>
    </row>
    <row r="81" spans="1:3" x14ac:dyDescent="0.35">
      <c r="A81" t="s">
        <v>242</v>
      </c>
      <c r="B81">
        <v>1488.48</v>
      </c>
      <c r="C81">
        <v>8080</v>
      </c>
    </row>
    <row r="82" spans="1:3" x14ac:dyDescent="0.35">
      <c r="A82" t="s">
        <v>243</v>
      </c>
      <c r="B82">
        <v>1534.87</v>
      </c>
      <c r="C82">
        <v>8081</v>
      </c>
    </row>
    <row r="83" spans="1:3" x14ac:dyDescent="0.35">
      <c r="A83" t="s">
        <v>244</v>
      </c>
      <c r="B83">
        <v>1531.91</v>
      </c>
      <c r="C83">
        <v>8082</v>
      </c>
    </row>
    <row r="84" spans="1:3" x14ac:dyDescent="0.35">
      <c r="A84" t="s">
        <v>245</v>
      </c>
      <c r="B84">
        <v>1514.67</v>
      </c>
      <c r="C84">
        <v>8083</v>
      </c>
    </row>
    <row r="85" spans="1:3" x14ac:dyDescent="0.35">
      <c r="A85" t="s">
        <v>246</v>
      </c>
      <c r="B85">
        <v>1582.99</v>
      </c>
      <c r="C85">
        <v>8084</v>
      </c>
    </row>
    <row r="86" spans="1:3" x14ac:dyDescent="0.35">
      <c r="A86" t="s">
        <v>247</v>
      </c>
      <c r="B86">
        <v>1590.2</v>
      </c>
      <c r="C86">
        <v>8085</v>
      </c>
    </row>
    <row r="87" spans="1:3" x14ac:dyDescent="0.35">
      <c r="A87" t="s">
        <v>248</v>
      </c>
      <c r="B87">
        <v>1569.98</v>
      </c>
      <c r="C87">
        <v>8086</v>
      </c>
    </row>
    <row r="88" spans="1:3" x14ac:dyDescent="0.35">
      <c r="A88" t="s">
        <v>249</v>
      </c>
      <c r="B88">
        <v>1543.66</v>
      </c>
      <c r="C88">
        <v>8087</v>
      </c>
    </row>
    <row r="89" spans="1:3" x14ac:dyDescent="0.35">
      <c r="A89" t="s">
        <v>250</v>
      </c>
      <c r="B89">
        <v>1557.34</v>
      </c>
      <c r="C89">
        <v>8088</v>
      </c>
    </row>
    <row r="90" spans="1:3" x14ac:dyDescent="0.35">
      <c r="A90" t="s">
        <v>251</v>
      </c>
      <c r="B90">
        <v>1614.52</v>
      </c>
      <c r="C90">
        <v>8089</v>
      </c>
    </row>
    <row r="91" spans="1:3" x14ac:dyDescent="0.35">
      <c r="A91" t="s">
        <v>252</v>
      </c>
      <c r="B91">
        <v>1561.4</v>
      </c>
      <c r="C91">
        <v>8090</v>
      </c>
    </row>
    <row r="92" spans="1:3" x14ac:dyDescent="0.35">
      <c r="A92" t="s">
        <v>253</v>
      </c>
      <c r="B92">
        <v>1520.28</v>
      </c>
      <c r="C92">
        <v>8091</v>
      </c>
    </row>
    <row r="93" spans="1:3" x14ac:dyDescent="0.35">
      <c r="A93" t="s">
        <v>254</v>
      </c>
      <c r="B93">
        <v>1565.34</v>
      </c>
      <c r="C93">
        <v>8092</v>
      </c>
    </row>
    <row r="94" spans="1:3" x14ac:dyDescent="0.35">
      <c r="A94" t="s">
        <v>255</v>
      </c>
      <c r="B94">
        <v>1442.1</v>
      </c>
      <c r="C94">
        <v>8093</v>
      </c>
    </row>
    <row r="95" spans="1:3" x14ac:dyDescent="0.35">
      <c r="A95" t="s">
        <v>256</v>
      </c>
      <c r="B95">
        <v>1580.99</v>
      </c>
      <c r="C95">
        <v>8094</v>
      </c>
    </row>
    <row r="96" spans="1:3" x14ac:dyDescent="0.35">
      <c r="A96" t="s">
        <v>257</v>
      </c>
      <c r="B96">
        <v>1502.35</v>
      </c>
      <c r="C96">
        <v>8095</v>
      </c>
    </row>
    <row r="97" spans="1:3" x14ac:dyDescent="0.35">
      <c r="A97" t="s">
        <v>258</v>
      </c>
      <c r="B97">
        <v>1576.16</v>
      </c>
      <c r="C97">
        <v>8096</v>
      </c>
    </row>
    <row r="98" spans="1:3" x14ac:dyDescent="0.35">
      <c r="A98" t="s">
        <v>259</v>
      </c>
      <c r="B98">
        <v>1435.41</v>
      </c>
      <c r="C98">
        <v>8097</v>
      </c>
    </row>
    <row r="99" spans="1:3" x14ac:dyDescent="0.35">
      <c r="A99" t="s">
        <v>260</v>
      </c>
      <c r="B99">
        <v>1541.2</v>
      </c>
      <c r="C99">
        <v>8098</v>
      </c>
    </row>
    <row r="100" spans="1:3" x14ac:dyDescent="0.35">
      <c r="A100" t="s">
        <v>261</v>
      </c>
      <c r="B100">
        <v>1453.19</v>
      </c>
      <c r="C100">
        <v>8099</v>
      </c>
    </row>
    <row r="101" spans="1:3" x14ac:dyDescent="0.35">
      <c r="A101" t="s">
        <v>262</v>
      </c>
      <c r="B101">
        <v>1560.15</v>
      </c>
      <c r="C101">
        <v>8100</v>
      </c>
    </row>
    <row r="102" spans="1:3" x14ac:dyDescent="0.35">
      <c r="A102" t="s">
        <v>263</v>
      </c>
      <c r="B102">
        <v>1624.08</v>
      </c>
      <c r="C102">
        <v>8101</v>
      </c>
    </row>
    <row r="103" spans="1:3" x14ac:dyDescent="0.35">
      <c r="A103" t="s">
        <v>264</v>
      </c>
      <c r="B103">
        <v>1581.42</v>
      </c>
      <c r="C103">
        <v>8102</v>
      </c>
    </row>
    <row r="104" spans="1:3" x14ac:dyDescent="0.35">
      <c r="A104" t="s">
        <v>265</v>
      </c>
      <c r="B104">
        <v>1592.99</v>
      </c>
      <c r="C104">
        <v>8103</v>
      </c>
    </row>
    <row r="105" spans="1:3" x14ac:dyDescent="0.35">
      <c r="A105" t="s">
        <v>266</v>
      </c>
      <c r="B105">
        <v>1532.78</v>
      </c>
      <c r="C105">
        <v>8104</v>
      </c>
    </row>
    <row r="106" spans="1:3" x14ac:dyDescent="0.35">
      <c r="A106" t="s">
        <v>267</v>
      </c>
      <c r="B106">
        <v>1588.26</v>
      </c>
      <c r="C106">
        <v>8105</v>
      </c>
    </row>
    <row r="107" spans="1:3" x14ac:dyDescent="0.35">
      <c r="A107" t="s">
        <v>268</v>
      </c>
      <c r="B107">
        <v>1542.29</v>
      </c>
      <c r="C107">
        <v>8106</v>
      </c>
    </row>
    <row r="108" spans="1:3" x14ac:dyDescent="0.35">
      <c r="A108" t="s">
        <v>269</v>
      </c>
      <c r="B108">
        <v>1583.05</v>
      </c>
      <c r="C108">
        <v>8107</v>
      </c>
    </row>
    <row r="109" spans="1:3" x14ac:dyDescent="0.35">
      <c r="A109" t="s">
        <v>270</v>
      </c>
      <c r="B109">
        <v>1577.14</v>
      </c>
      <c r="C109">
        <v>8108</v>
      </c>
    </row>
    <row r="110" spans="1:3" x14ac:dyDescent="0.35">
      <c r="A110" t="s">
        <v>271</v>
      </c>
      <c r="B110">
        <v>1560.16</v>
      </c>
      <c r="C110">
        <v>8109</v>
      </c>
    </row>
    <row r="111" spans="1:3" x14ac:dyDescent="0.35">
      <c r="A111" t="s">
        <v>272</v>
      </c>
      <c r="B111">
        <v>1532.94</v>
      </c>
      <c r="C111">
        <v>8110</v>
      </c>
    </row>
    <row r="112" spans="1:3" x14ac:dyDescent="0.35">
      <c r="A112" t="s">
        <v>273</v>
      </c>
      <c r="B112">
        <v>1552.27</v>
      </c>
      <c r="C112">
        <v>8111</v>
      </c>
    </row>
    <row r="113" spans="1:3" x14ac:dyDescent="0.35">
      <c r="A113" t="s">
        <v>274</v>
      </c>
      <c r="B113">
        <v>1552.81</v>
      </c>
      <c r="C113">
        <v>8112</v>
      </c>
    </row>
    <row r="114" spans="1:3" x14ac:dyDescent="0.35">
      <c r="A114" t="s">
        <v>275</v>
      </c>
      <c r="B114">
        <v>1583.07</v>
      </c>
      <c r="C114">
        <v>8113</v>
      </c>
    </row>
    <row r="115" spans="1:3" x14ac:dyDescent="0.35">
      <c r="A115" t="s">
        <v>276</v>
      </c>
      <c r="B115">
        <v>1538.65</v>
      </c>
      <c r="C115">
        <v>8114</v>
      </c>
    </row>
    <row r="116" spans="1:3" x14ac:dyDescent="0.35">
      <c r="A116" t="s">
        <v>277</v>
      </c>
      <c r="B116">
        <v>1577.68</v>
      </c>
      <c r="C116">
        <v>8115</v>
      </c>
    </row>
    <row r="117" spans="1:3" x14ac:dyDescent="0.35">
      <c r="A117" t="s">
        <v>278</v>
      </c>
      <c r="B117">
        <v>1522.93</v>
      </c>
      <c r="C117">
        <v>8116</v>
      </c>
    </row>
    <row r="118" spans="1:3" x14ac:dyDescent="0.35">
      <c r="A118" t="s">
        <v>279</v>
      </c>
      <c r="B118">
        <v>1561.12</v>
      </c>
      <c r="C118">
        <v>8117</v>
      </c>
    </row>
    <row r="119" spans="1:3" x14ac:dyDescent="0.35">
      <c r="A119" t="s">
        <v>280</v>
      </c>
      <c r="B119">
        <v>1564.25</v>
      </c>
      <c r="C119">
        <v>8118</v>
      </c>
    </row>
    <row r="120" spans="1:3" x14ac:dyDescent="0.35">
      <c r="A120" t="s">
        <v>281</v>
      </c>
      <c r="B120">
        <v>1547.36</v>
      </c>
      <c r="C120">
        <v>8119</v>
      </c>
    </row>
    <row r="121" spans="1:3" x14ac:dyDescent="0.35">
      <c r="A121" t="s">
        <v>282</v>
      </c>
      <c r="B121">
        <v>1549.2</v>
      </c>
      <c r="C121">
        <v>8120</v>
      </c>
    </row>
    <row r="122" spans="1:3" x14ac:dyDescent="0.35">
      <c r="A122" t="s">
        <v>283</v>
      </c>
      <c r="B122">
        <v>1554.58</v>
      </c>
      <c r="C122">
        <v>8121</v>
      </c>
    </row>
    <row r="123" spans="1:3" x14ac:dyDescent="0.35">
      <c r="A123" t="s">
        <v>284</v>
      </c>
      <c r="B123">
        <v>1582.14</v>
      </c>
      <c r="C123">
        <v>8122</v>
      </c>
    </row>
    <row r="124" spans="1:3" x14ac:dyDescent="0.35">
      <c r="A124" t="s">
        <v>285</v>
      </c>
      <c r="B124">
        <v>1589.87</v>
      </c>
      <c r="C124">
        <v>8123</v>
      </c>
    </row>
    <row r="125" spans="1:3" x14ac:dyDescent="0.35">
      <c r="A125" t="s">
        <v>286</v>
      </c>
      <c r="B125">
        <v>1579.43</v>
      </c>
      <c r="C125">
        <v>8124</v>
      </c>
    </row>
    <row r="126" spans="1:3" x14ac:dyDescent="0.35">
      <c r="A126" t="s">
        <v>287</v>
      </c>
      <c r="B126">
        <v>1592.29</v>
      </c>
      <c r="C126">
        <v>8125</v>
      </c>
    </row>
    <row r="127" spans="1:3" x14ac:dyDescent="0.35">
      <c r="A127" t="s">
        <v>288</v>
      </c>
      <c r="B127">
        <v>1558.99</v>
      </c>
      <c r="C127">
        <v>8126</v>
      </c>
    </row>
    <row r="128" spans="1:3" x14ac:dyDescent="0.35">
      <c r="A128" t="s">
        <v>289</v>
      </c>
      <c r="B128">
        <v>1461.2</v>
      </c>
      <c r="C128">
        <v>8127</v>
      </c>
    </row>
    <row r="129" spans="1:3" x14ac:dyDescent="0.35">
      <c r="A129" t="s">
        <v>290</v>
      </c>
      <c r="B129">
        <v>1469.23</v>
      </c>
      <c r="C129">
        <v>8128</v>
      </c>
    </row>
    <row r="130" spans="1:3" x14ac:dyDescent="0.35">
      <c r="A130" t="s">
        <v>291</v>
      </c>
      <c r="B130">
        <v>1513.53</v>
      </c>
      <c r="C130">
        <v>8129</v>
      </c>
    </row>
    <row r="131" spans="1:3" x14ac:dyDescent="0.35">
      <c r="A131" t="s">
        <v>292</v>
      </c>
      <c r="B131">
        <v>1587.49</v>
      </c>
      <c r="C131">
        <v>8130</v>
      </c>
    </row>
    <row r="132" spans="1:3" x14ac:dyDescent="0.35">
      <c r="A132" t="s">
        <v>293</v>
      </c>
      <c r="B132">
        <v>1482.25</v>
      </c>
      <c r="C132">
        <v>8131</v>
      </c>
    </row>
    <row r="133" spans="1:3" x14ac:dyDescent="0.35">
      <c r="A133" t="s">
        <v>294</v>
      </c>
      <c r="B133">
        <v>1573.74</v>
      </c>
      <c r="C133">
        <v>8132</v>
      </c>
    </row>
    <row r="134" spans="1:3" x14ac:dyDescent="0.35">
      <c r="A134" t="s">
        <v>295</v>
      </c>
      <c r="B134">
        <v>1586.64</v>
      </c>
      <c r="C134">
        <v>8133</v>
      </c>
    </row>
    <row r="135" spans="1:3" x14ac:dyDescent="0.35">
      <c r="A135" t="s">
        <v>296</v>
      </c>
      <c r="B135">
        <v>1499.13</v>
      </c>
      <c r="C135">
        <v>8134</v>
      </c>
    </row>
    <row r="136" spans="1:3" x14ac:dyDescent="0.35">
      <c r="A136" t="s">
        <v>297</v>
      </c>
      <c r="B136">
        <v>1580.21</v>
      </c>
      <c r="C136">
        <v>8135</v>
      </c>
    </row>
    <row r="137" spans="1:3" x14ac:dyDescent="0.35">
      <c r="A137" t="s">
        <v>298</v>
      </c>
      <c r="B137">
        <v>1561.8</v>
      </c>
      <c r="C137">
        <v>8136</v>
      </c>
    </row>
    <row r="138" spans="1:3" x14ac:dyDescent="0.35">
      <c r="A138" t="s">
        <v>299</v>
      </c>
      <c r="B138">
        <v>1419.17</v>
      </c>
      <c r="C138">
        <v>8137</v>
      </c>
    </row>
    <row r="139" spans="1:3" x14ac:dyDescent="0.35">
      <c r="A139" t="s">
        <v>300</v>
      </c>
      <c r="B139">
        <v>1515.16</v>
      </c>
      <c r="C139">
        <v>8138</v>
      </c>
    </row>
    <row r="140" spans="1:3" x14ac:dyDescent="0.35">
      <c r="A140" t="s">
        <v>301</v>
      </c>
      <c r="B140">
        <v>1492.94</v>
      </c>
      <c r="C140">
        <v>8139</v>
      </c>
    </row>
    <row r="141" spans="1:3" x14ac:dyDescent="0.35">
      <c r="A141" t="s">
        <v>302</v>
      </c>
      <c r="B141">
        <v>1564.57</v>
      </c>
      <c r="C141">
        <v>8140</v>
      </c>
    </row>
    <row r="142" spans="1:3" x14ac:dyDescent="0.35">
      <c r="A142" t="s">
        <v>303</v>
      </c>
      <c r="B142">
        <v>1578.16</v>
      </c>
      <c r="C142">
        <v>8141</v>
      </c>
    </row>
    <row r="143" spans="1:3" x14ac:dyDescent="0.35">
      <c r="A143" t="s">
        <v>304</v>
      </c>
      <c r="B143">
        <v>1493.99</v>
      </c>
      <c r="C143">
        <v>8142</v>
      </c>
    </row>
    <row r="144" spans="1:3" x14ac:dyDescent="0.35">
      <c r="A144" t="s">
        <v>305</v>
      </c>
      <c r="B144">
        <v>1588.81</v>
      </c>
      <c r="C144">
        <v>8143</v>
      </c>
    </row>
    <row r="145" spans="1:3" x14ac:dyDescent="0.35">
      <c r="A145" t="s">
        <v>306</v>
      </c>
      <c r="B145">
        <v>1563.7</v>
      </c>
      <c r="C145">
        <v>8144</v>
      </c>
    </row>
    <row r="146" spans="1:3" x14ac:dyDescent="0.35">
      <c r="A146" t="s">
        <v>307</v>
      </c>
      <c r="B146">
        <v>1584.06</v>
      </c>
      <c r="C146">
        <v>8145</v>
      </c>
    </row>
    <row r="147" spans="1:3" x14ac:dyDescent="0.35">
      <c r="A147" t="s">
        <v>308</v>
      </c>
      <c r="B147">
        <v>1568.41</v>
      </c>
      <c r="C147">
        <v>8146</v>
      </c>
    </row>
    <row r="148" spans="1:3" x14ac:dyDescent="0.35">
      <c r="A148" t="s">
        <v>309</v>
      </c>
      <c r="B148">
        <v>1583.57</v>
      </c>
      <c r="C148">
        <v>8147</v>
      </c>
    </row>
    <row r="149" spans="1:3" x14ac:dyDescent="0.35">
      <c r="A149" t="s">
        <v>310</v>
      </c>
      <c r="B149">
        <v>1556.5</v>
      </c>
      <c r="C149">
        <v>8148</v>
      </c>
    </row>
    <row r="150" spans="1:3" x14ac:dyDescent="0.35">
      <c r="A150" t="s">
        <v>311</v>
      </c>
      <c r="B150">
        <v>1541.08</v>
      </c>
      <c r="C150">
        <v>8149</v>
      </c>
    </row>
    <row r="151" spans="1:3" x14ac:dyDescent="0.35">
      <c r="A151" t="s">
        <v>312</v>
      </c>
      <c r="B151">
        <v>1545.98</v>
      </c>
      <c r="C151">
        <v>8150</v>
      </c>
    </row>
    <row r="152" spans="1:3" x14ac:dyDescent="0.35">
      <c r="A152" t="s">
        <v>313</v>
      </c>
      <c r="B152">
        <v>1528.02</v>
      </c>
      <c r="C152">
        <v>8151</v>
      </c>
    </row>
    <row r="153" spans="1:3" x14ac:dyDescent="0.35">
      <c r="A153" t="s">
        <v>314</v>
      </c>
      <c r="B153">
        <v>1481.32</v>
      </c>
      <c r="C153">
        <v>8152</v>
      </c>
    </row>
    <row r="154" spans="1:3" x14ac:dyDescent="0.35">
      <c r="A154" t="s">
        <v>315</v>
      </c>
      <c r="B154">
        <v>1544.08</v>
      </c>
      <c r="C154">
        <v>8153</v>
      </c>
    </row>
    <row r="155" spans="1:3" x14ac:dyDescent="0.35">
      <c r="A155" t="s">
        <v>316</v>
      </c>
      <c r="B155">
        <v>1582.85</v>
      </c>
      <c r="C155">
        <v>8154</v>
      </c>
    </row>
    <row r="156" spans="1:3" x14ac:dyDescent="0.35">
      <c r="A156" t="s">
        <v>317</v>
      </c>
      <c r="B156">
        <v>1525.9</v>
      </c>
      <c r="C156">
        <v>8155</v>
      </c>
    </row>
    <row r="157" spans="1:3" x14ac:dyDescent="0.35">
      <c r="A157" t="s">
        <v>318</v>
      </c>
      <c r="B157">
        <v>1595.86</v>
      </c>
      <c r="C157">
        <v>8156</v>
      </c>
    </row>
    <row r="158" spans="1:3" x14ac:dyDescent="0.35">
      <c r="A158" t="s">
        <v>319</v>
      </c>
      <c r="B158">
        <v>1588.33</v>
      </c>
      <c r="C158">
        <v>8157</v>
      </c>
    </row>
    <row r="159" spans="1:3" x14ac:dyDescent="0.35">
      <c r="A159" t="s">
        <v>320</v>
      </c>
      <c r="B159">
        <v>1578.38</v>
      </c>
      <c r="C159">
        <v>8158</v>
      </c>
    </row>
    <row r="160" spans="1:3" x14ac:dyDescent="0.35">
      <c r="A160" t="s">
        <v>321</v>
      </c>
      <c r="B160">
        <v>1577.21</v>
      </c>
      <c r="C160">
        <v>8159</v>
      </c>
    </row>
    <row r="161" spans="1:3" x14ac:dyDescent="0.35">
      <c r="A161" t="s">
        <v>322</v>
      </c>
      <c r="B161">
        <v>1542.6</v>
      </c>
      <c r="C161">
        <v>8160</v>
      </c>
    </row>
    <row r="162" spans="1:3" x14ac:dyDescent="0.35">
      <c r="A162" t="s">
        <v>323</v>
      </c>
      <c r="B162">
        <v>1587.17</v>
      </c>
      <c r="C162">
        <v>8161</v>
      </c>
    </row>
    <row r="163" spans="1:3" x14ac:dyDescent="0.35">
      <c r="A163" t="s">
        <v>324</v>
      </c>
      <c r="B163">
        <v>1586.51</v>
      </c>
      <c r="C163">
        <v>8162</v>
      </c>
    </row>
    <row r="164" spans="1:3" x14ac:dyDescent="0.35">
      <c r="A164" t="s">
        <v>325</v>
      </c>
      <c r="B164">
        <v>1537.98</v>
      </c>
      <c r="C164">
        <v>8163</v>
      </c>
    </row>
    <row r="165" spans="1:3" x14ac:dyDescent="0.35">
      <c r="A165" t="s">
        <v>326</v>
      </c>
      <c r="B165">
        <v>1595.13</v>
      </c>
      <c r="C165">
        <v>8164</v>
      </c>
    </row>
    <row r="166" spans="1:3" x14ac:dyDescent="0.35">
      <c r="A166" t="s">
        <v>327</v>
      </c>
      <c r="B166">
        <v>1544.64</v>
      </c>
      <c r="C166">
        <v>8165</v>
      </c>
    </row>
    <row r="167" spans="1:3" x14ac:dyDescent="0.35">
      <c r="A167" t="s">
        <v>328</v>
      </c>
      <c r="B167">
        <v>1458.73</v>
      </c>
      <c r="C167">
        <v>8166</v>
      </c>
    </row>
    <row r="168" spans="1:3" x14ac:dyDescent="0.35">
      <c r="A168" t="s">
        <v>329</v>
      </c>
      <c r="B168">
        <v>1591.81</v>
      </c>
      <c r="C168">
        <v>8167</v>
      </c>
    </row>
    <row r="169" spans="1:3" x14ac:dyDescent="0.35">
      <c r="A169" t="s">
        <v>330</v>
      </c>
      <c r="B169">
        <v>1509.11</v>
      </c>
      <c r="C169">
        <v>8168</v>
      </c>
    </row>
    <row r="170" spans="1:3" x14ac:dyDescent="0.35">
      <c r="A170" t="s">
        <v>331</v>
      </c>
      <c r="B170">
        <v>1597.4</v>
      </c>
      <c r="C170">
        <v>8169</v>
      </c>
    </row>
    <row r="171" spans="1:3" x14ac:dyDescent="0.35">
      <c r="A171" t="s">
        <v>332</v>
      </c>
      <c r="B171">
        <v>1575.81</v>
      </c>
      <c r="C171">
        <v>8170</v>
      </c>
    </row>
    <row r="172" spans="1:3" x14ac:dyDescent="0.35">
      <c r="A172" t="s">
        <v>333</v>
      </c>
      <c r="B172">
        <v>1559.27</v>
      </c>
      <c r="C172">
        <v>8171</v>
      </c>
    </row>
    <row r="173" spans="1:3" x14ac:dyDescent="0.35">
      <c r="A173" t="s">
        <v>334</v>
      </c>
      <c r="B173">
        <v>1564.05</v>
      </c>
      <c r="C173">
        <v>8172</v>
      </c>
    </row>
    <row r="174" spans="1:3" x14ac:dyDescent="0.35">
      <c r="A174" t="s">
        <v>335</v>
      </c>
      <c r="B174">
        <v>1592.87</v>
      </c>
      <c r="C174">
        <v>8174</v>
      </c>
    </row>
    <row r="175" spans="1:3" x14ac:dyDescent="0.35">
      <c r="A175" t="s">
        <v>336</v>
      </c>
      <c r="B175">
        <v>1570.94</v>
      </c>
      <c r="C175">
        <v>8175</v>
      </c>
    </row>
    <row r="176" spans="1:3" x14ac:dyDescent="0.35">
      <c r="A176" t="s">
        <v>337</v>
      </c>
      <c r="B176">
        <v>1574.24</v>
      </c>
      <c r="C176">
        <v>8176</v>
      </c>
    </row>
    <row r="177" spans="1:3" x14ac:dyDescent="0.35">
      <c r="A177" t="s">
        <v>338</v>
      </c>
      <c r="B177">
        <v>1528.93</v>
      </c>
      <c r="C177">
        <v>8177</v>
      </c>
    </row>
    <row r="178" spans="1:3" x14ac:dyDescent="0.35">
      <c r="A178" t="s">
        <v>339</v>
      </c>
      <c r="B178">
        <v>1523.57</v>
      </c>
      <c r="C178">
        <v>8178</v>
      </c>
    </row>
    <row r="179" spans="1:3" x14ac:dyDescent="0.35">
      <c r="A179" t="s">
        <v>340</v>
      </c>
      <c r="B179">
        <v>1524.09</v>
      </c>
      <c r="C179">
        <v>8179</v>
      </c>
    </row>
    <row r="180" spans="1:3" x14ac:dyDescent="0.35">
      <c r="A180" t="s">
        <v>341</v>
      </c>
      <c r="B180">
        <v>1594.5</v>
      </c>
      <c r="C180">
        <v>8180</v>
      </c>
    </row>
    <row r="181" spans="1:3" x14ac:dyDescent="0.35">
      <c r="A181" t="s">
        <v>342</v>
      </c>
      <c r="B181">
        <v>1532.94</v>
      </c>
      <c r="C181">
        <v>8181</v>
      </c>
    </row>
    <row r="182" spans="1:3" x14ac:dyDescent="0.35">
      <c r="A182" t="s">
        <v>343</v>
      </c>
      <c r="B182">
        <v>1538.04</v>
      </c>
      <c r="C182">
        <v>8182</v>
      </c>
    </row>
    <row r="183" spans="1:3" x14ac:dyDescent="0.35">
      <c r="A183" t="s">
        <v>344</v>
      </c>
      <c r="B183">
        <v>1520.26</v>
      </c>
      <c r="C183">
        <v>8183</v>
      </c>
    </row>
    <row r="184" spans="1:3" x14ac:dyDescent="0.35">
      <c r="A184" t="s">
        <v>345</v>
      </c>
      <c r="B184">
        <v>1572.39</v>
      </c>
      <c r="C184">
        <v>8184</v>
      </c>
    </row>
    <row r="185" spans="1:3" x14ac:dyDescent="0.35">
      <c r="A185" t="s">
        <v>346</v>
      </c>
      <c r="B185">
        <v>1579.88</v>
      </c>
      <c r="C185">
        <v>8185</v>
      </c>
    </row>
    <row r="186" spans="1:3" x14ac:dyDescent="0.35">
      <c r="A186" t="s">
        <v>347</v>
      </c>
      <c r="B186">
        <v>1585</v>
      </c>
      <c r="C186">
        <v>8187</v>
      </c>
    </row>
    <row r="187" spans="1:3" x14ac:dyDescent="0.35">
      <c r="A187" t="s">
        <v>348</v>
      </c>
      <c r="B187">
        <v>1554.59</v>
      </c>
      <c r="C187">
        <v>8188</v>
      </c>
    </row>
    <row r="188" spans="1:3" x14ac:dyDescent="0.35">
      <c r="A188" t="s">
        <v>349</v>
      </c>
      <c r="B188">
        <v>1556.95</v>
      </c>
      <c r="C188">
        <v>8189</v>
      </c>
    </row>
    <row r="189" spans="1:3" x14ac:dyDescent="0.35">
      <c r="A189" t="s">
        <v>350</v>
      </c>
      <c r="B189">
        <v>1448.07</v>
      </c>
      <c r="C189">
        <v>8190</v>
      </c>
    </row>
    <row r="190" spans="1:3" x14ac:dyDescent="0.35">
      <c r="A190" t="s">
        <v>351</v>
      </c>
      <c r="B190">
        <v>1594.11</v>
      </c>
      <c r="C190">
        <v>8191</v>
      </c>
    </row>
    <row r="191" spans="1:3" x14ac:dyDescent="0.35">
      <c r="A191" t="s">
        <v>352</v>
      </c>
      <c r="B191">
        <v>1599.17</v>
      </c>
      <c r="C191">
        <v>8192</v>
      </c>
    </row>
    <row r="192" spans="1:3" x14ac:dyDescent="0.35">
      <c r="A192" t="s">
        <v>353</v>
      </c>
      <c r="B192">
        <v>1533.26</v>
      </c>
      <c r="C192">
        <v>8193</v>
      </c>
    </row>
    <row r="193" spans="1:3" x14ac:dyDescent="0.35">
      <c r="A193" t="s">
        <v>354</v>
      </c>
      <c r="B193">
        <v>1563.56</v>
      </c>
      <c r="C193">
        <v>8194</v>
      </c>
    </row>
    <row r="194" spans="1:3" x14ac:dyDescent="0.35">
      <c r="A194" t="s">
        <v>355</v>
      </c>
      <c r="B194">
        <v>1511.14</v>
      </c>
      <c r="C194">
        <v>8195</v>
      </c>
    </row>
    <row r="195" spans="1:3" x14ac:dyDescent="0.35">
      <c r="A195" t="s">
        <v>356</v>
      </c>
      <c r="B195">
        <v>1559.37</v>
      </c>
      <c r="C195">
        <v>8196</v>
      </c>
    </row>
    <row r="196" spans="1:3" x14ac:dyDescent="0.35">
      <c r="A196" t="s">
        <v>357</v>
      </c>
      <c r="B196">
        <v>1543.78</v>
      </c>
      <c r="C196">
        <v>8197</v>
      </c>
    </row>
    <row r="197" spans="1:3" x14ac:dyDescent="0.35">
      <c r="A197" t="s">
        <v>358</v>
      </c>
      <c r="B197">
        <v>1516.59</v>
      </c>
      <c r="C197">
        <v>8198</v>
      </c>
    </row>
    <row r="198" spans="1:3" x14ac:dyDescent="0.35">
      <c r="A198" t="s">
        <v>359</v>
      </c>
      <c r="B198">
        <v>1535.91</v>
      </c>
      <c r="C198">
        <v>8199</v>
      </c>
    </row>
    <row r="199" spans="1:3" x14ac:dyDescent="0.35">
      <c r="A199" t="s">
        <v>360</v>
      </c>
      <c r="B199">
        <v>1609.66</v>
      </c>
      <c r="C199">
        <v>8200</v>
      </c>
    </row>
    <row r="200" spans="1:3" x14ac:dyDescent="0.35">
      <c r="A200" t="s">
        <v>361</v>
      </c>
      <c r="B200">
        <v>1527.21</v>
      </c>
      <c r="C200">
        <v>8201</v>
      </c>
    </row>
    <row r="201" spans="1:3" x14ac:dyDescent="0.35">
      <c r="A201" t="s">
        <v>362</v>
      </c>
      <c r="B201">
        <v>1521.45</v>
      </c>
      <c r="C201">
        <v>8202</v>
      </c>
    </row>
    <row r="202" spans="1:3" x14ac:dyDescent="0.35">
      <c r="A202" t="s">
        <v>363</v>
      </c>
      <c r="B202">
        <v>1532.14</v>
      </c>
      <c r="C202">
        <v>8203</v>
      </c>
    </row>
    <row r="203" spans="1:3" x14ac:dyDescent="0.35">
      <c r="A203" t="s">
        <v>364</v>
      </c>
      <c r="B203">
        <v>1586.15</v>
      </c>
      <c r="C203">
        <v>8204</v>
      </c>
    </row>
    <row r="204" spans="1:3" x14ac:dyDescent="0.35">
      <c r="A204" t="s">
        <v>365</v>
      </c>
      <c r="B204">
        <v>1548.94</v>
      </c>
      <c r="C204">
        <v>8205</v>
      </c>
    </row>
    <row r="205" spans="1:3" x14ac:dyDescent="0.35">
      <c r="A205" t="s">
        <v>366</v>
      </c>
      <c r="B205">
        <v>1562.78</v>
      </c>
      <c r="C205">
        <v>8206</v>
      </c>
    </row>
    <row r="206" spans="1:3" x14ac:dyDescent="0.35">
      <c r="A206" t="s">
        <v>367</v>
      </c>
      <c r="B206">
        <v>1544.92</v>
      </c>
      <c r="C206">
        <v>8207</v>
      </c>
    </row>
    <row r="207" spans="1:3" x14ac:dyDescent="0.35">
      <c r="A207" t="s">
        <v>368</v>
      </c>
      <c r="B207">
        <v>1536.31</v>
      </c>
      <c r="C207">
        <v>8208</v>
      </c>
    </row>
    <row r="208" spans="1:3" x14ac:dyDescent="0.35">
      <c r="A208" t="s">
        <v>369</v>
      </c>
      <c r="B208">
        <v>1578.65</v>
      </c>
      <c r="C208">
        <v>8209</v>
      </c>
    </row>
    <row r="209" spans="1:3" x14ac:dyDescent="0.35">
      <c r="A209" t="s">
        <v>370</v>
      </c>
      <c r="B209">
        <v>1553.17</v>
      </c>
      <c r="C209">
        <v>8210</v>
      </c>
    </row>
    <row r="210" spans="1:3" x14ac:dyDescent="0.35">
      <c r="A210" t="s">
        <v>371</v>
      </c>
      <c r="B210">
        <v>1606.4</v>
      </c>
      <c r="C210">
        <v>8211</v>
      </c>
    </row>
    <row r="211" spans="1:3" x14ac:dyDescent="0.35">
      <c r="A211" t="s">
        <v>372</v>
      </c>
      <c r="B211">
        <v>1546.19</v>
      </c>
      <c r="C211">
        <v>8212</v>
      </c>
    </row>
    <row r="212" spans="1:3" x14ac:dyDescent="0.35">
      <c r="A212" t="s">
        <v>373</v>
      </c>
      <c r="B212">
        <v>1583.2</v>
      </c>
      <c r="C212">
        <v>8213</v>
      </c>
    </row>
    <row r="213" spans="1:3" x14ac:dyDescent="0.35">
      <c r="A213" t="s">
        <v>374</v>
      </c>
      <c r="B213">
        <v>1549.89</v>
      </c>
      <c r="C213">
        <v>8214</v>
      </c>
    </row>
    <row r="214" spans="1:3" x14ac:dyDescent="0.35">
      <c r="A214" t="s">
        <v>375</v>
      </c>
      <c r="B214">
        <v>1556.49</v>
      </c>
      <c r="C214">
        <v>8215</v>
      </c>
    </row>
    <row r="215" spans="1:3" x14ac:dyDescent="0.35">
      <c r="A215" t="s">
        <v>376</v>
      </c>
      <c r="B215">
        <v>1508.04</v>
      </c>
      <c r="C215">
        <v>8216</v>
      </c>
    </row>
    <row r="216" spans="1:3" x14ac:dyDescent="0.35">
      <c r="A216" t="s">
        <v>377</v>
      </c>
      <c r="B216">
        <v>1623.6</v>
      </c>
      <c r="C216">
        <v>8217</v>
      </c>
    </row>
    <row r="217" spans="1:3" x14ac:dyDescent="0.35">
      <c r="A217" t="s">
        <v>378</v>
      </c>
      <c r="B217">
        <v>1584.5</v>
      </c>
      <c r="C217">
        <v>8218</v>
      </c>
    </row>
    <row r="218" spans="1:3" x14ac:dyDescent="0.35">
      <c r="A218" t="s">
        <v>379</v>
      </c>
      <c r="B218">
        <v>1557.83</v>
      </c>
      <c r="C218">
        <v>8219</v>
      </c>
    </row>
    <row r="219" spans="1:3" x14ac:dyDescent="0.35">
      <c r="A219" t="s">
        <v>380</v>
      </c>
      <c r="B219">
        <v>1505.42</v>
      </c>
      <c r="C219">
        <v>8220</v>
      </c>
    </row>
    <row r="220" spans="1:3" x14ac:dyDescent="0.35">
      <c r="A220" t="s">
        <v>381</v>
      </c>
      <c r="B220">
        <v>1615.29</v>
      </c>
      <c r="C220">
        <v>8221</v>
      </c>
    </row>
    <row r="221" spans="1:3" x14ac:dyDescent="0.35">
      <c r="A221" t="s">
        <v>382</v>
      </c>
      <c r="B221">
        <v>1549.75</v>
      </c>
      <c r="C221">
        <v>8222</v>
      </c>
    </row>
    <row r="222" spans="1:3" x14ac:dyDescent="0.35">
      <c r="A222" t="s">
        <v>383</v>
      </c>
      <c r="B222">
        <v>1509.82</v>
      </c>
      <c r="C222">
        <v>8223</v>
      </c>
    </row>
    <row r="223" spans="1:3" x14ac:dyDescent="0.35">
      <c r="A223" t="s">
        <v>384</v>
      </c>
      <c r="B223">
        <v>1469.9</v>
      </c>
      <c r="C223">
        <v>8224</v>
      </c>
    </row>
    <row r="224" spans="1:3" x14ac:dyDescent="0.35">
      <c r="A224" t="s">
        <v>385</v>
      </c>
      <c r="B224">
        <v>1554.17</v>
      </c>
      <c r="C224">
        <v>8225</v>
      </c>
    </row>
    <row r="225" spans="1:3" x14ac:dyDescent="0.35">
      <c r="A225" t="s">
        <v>386</v>
      </c>
      <c r="B225">
        <v>1567.1</v>
      </c>
      <c r="C225">
        <v>8226</v>
      </c>
    </row>
    <row r="226" spans="1:3" x14ac:dyDescent="0.35">
      <c r="A226" t="s">
        <v>387</v>
      </c>
      <c r="B226">
        <v>1590.2</v>
      </c>
      <c r="C226">
        <v>8227</v>
      </c>
    </row>
    <row r="227" spans="1:3" x14ac:dyDescent="0.35">
      <c r="A227" t="s">
        <v>388</v>
      </c>
      <c r="B227">
        <v>1567.42</v>
      </c>
      <c r="C227">
        <v>8228</v>
      </c>
    </row>
    <row r="228" spans="1:3" x14ac:dyDescent="0.35">
      <c r="A228" t="s">
        <v>389</v>
      </c>
      <c r="B228">
        <v>1581.33</v>
      </c>
      <c r="C228">
        <v>8229</v>
      </c>
    </row>
    <row r="229" spans="1:3" x14ac:dyDescent="0.35">
      <c r="A229" t="s">
        <v>390</v>
      </c>
      <c r="B229">
        <v>1550.84</v>
      </c>
      <c r="C229">
        <v>8230</v>
      </c>
    </row>
    <row r="230" spans="1:3" x14ac:dyDescent="0.35">
      <c r="A230" t="s">
        <v>391</v>
      </c>
      <c r="B230">
        <v>1613.43</v>
      </c>
      <c r="C230">
        <v>8231</v>
      </c>
    </row>
    <row r="231" spans="1:3" x14ac:dyDescent="0.35">
      <c r="A231" t="s">
        <v>392</v>
      </c>
      <c r="B231">
        <v>1602.28</v>
      </c>
      <c r="C231">
        <v>8232</v>
      </c>
    </row>
    <row r="232" spans="1:3" x14ac:dyDescent="0.35">
      <c r="A232" t="s">
        <v>393</v>
      </c>
      <c r="B232">
        <v>1511.89</v>
      </c>
      <c r="C232">
        <v>8233</v>
      </c>
    </row>
    <row r="233" spans="1:3" x14ac:dyDescent="0.35">
      <c r="A233" t="s">
        <v>394</v>
      </c>
      <c r="B233">
        <v>1546.38</v>
      </c>
      <c r="C233">
        <v>8234</v>
      </c>
    </row>
    <row r="234" spans="1:3" x14ac:dyDescent="0.35">
      <c r="A234" t="s">
        <v>395</v>
      </c>
      <c r="B234">
        <v>1536.58</v>
      </c>
      <c r="C234">
        <v>8235</v>
      </c>
    </row>
    <row r="235" spans="1:3" x14ac:dyDescent="0.35">
      <c r="A235" t="s">
        <v>396</v>
      </c>
      <c r="B235">
        <v>1607.22</v>
      </c>
      <c r="C235">
        <v>8236</v>
      </c>
    </row>
    <row r="236" spans="1:3" x14ac:dyDescent="0.35">
      <c r="A236" t="s">
        <v>397</v>
      </c>
      <c r="B236">
        <v>1502.81</v>
      </c>
      <c r="C236">
        <v>8237</v>
      </c>
    </row>
    <row r="237" spans="1:3" x14ac:dyDescent="0.35">
      <c r="A237" t="s">
        <v>398</v>
      </c>
      <c r="B237">
        <v>1569.84</v>
      </c>
      <c r="C237">
        <v>8238</v>
      </c>
    </row>
    <row r="238" spans="1:3" x14ac:dyDescent="0.35">
      <c r="A238" t="s">
        <v>399</v>
      </c>
      <c r="B238">
        <v>1333.09</v>
      </c>
      <c r="C238">
        <v>8239</v>
      </c>
    </row>
    <row r="239" spans="1:3" x14ac:dyDescent="0.35">
      <c r="A239" t="s">
        <v>400</v>
      </c>
      <c r="B239">
        <v>1565.92</v>
      </c>
      <c r="C239">
        <v>8240</v>
      </c>
    </row>
    <row r="240" spans="1:3" x14ac:dyDescent="0.35">
      <c r="A240" t="s">
        <v>401</v>
      </c>
      <c r="B240">
        <v>1487.44</v>
      </c>
      <c r="C240">
        <v>8241</v>
      </c>
    </row>
    <row r="241" spans="1:3" x14ac:dyDescent="0.35">
      <c r="A241" t="s">
        <v>402</v>
      </c>
      <c r="B241">
        <v>1523.34</v>
      </c>
      <c r="C241">
        <v>8242</v>
      </c>
    </row>
    <row r="242" spans="1:3" x14ac:dyDescent="0.35">
      <c r="A242" t="s">
        <v>403</v>
      </c>
      <c r="B242">
        <v>1554.11</v>
      </c>
      <c r="C242">
        <v>8243</v>
      </c>
    </row>
    <row r="243" spans="1:3" x14ac:dyDescent="0.35">
      <c r="A243" t="s">
        <v>404</v>
      </c>
      <c r="B243">
        <v>1604.72</v>
      </c>
      <c r="C243">
        <v>8244</v>
      </c>
    </row>
    <row r="244" spans="1:3" x14ac:dyDescent="0.35">
      <c r="A244" t="s">
        <v>405</v>
      </c>
      <c r="B244">
        <v>1577.24</v>
      </c>
      <c r="C244">
        <v>8245</v>
      </c>
    </row>
    <row r="245" spans="1:3" x14ac:dyDescent="0.35">
      <c r="A245" t="s">
        <v>406</v>
      </c>
      <c r="B245">
        <v>1520.43</v>
      </c>
      <c r="C245">
        <v>8246</v>
      </c>
    </row>
    <row r="246" spans="1:3" x14ac:dyDescent="0.35">
      <c r="A246" t="s">
        <v>407</v>
      </c>
      <c r="B246">
        <v>1520.78</v>
      </c>
      <c r="C246">
        <v>8247</v>
      </c>
    </row>
    <row r="247" spans="1:3" x14ac:dyDescent="0.35">
      <c r="A247" t="s">
        <v>408</v>
      </c>
      <c r="B247">
        <v>1555.71</v>
      </c>
      <c r="C247">
        <v>8248</v>
      </c>
    </row>
    <row r="248" spans="1:3" x14ac:dyDescent="0.35">
      <c r="A248" t="s">
        <v>409</v>
      </c>
      <c r="B248">
        <v>1579.08</v>
      </c>
      <c r="C248">
        <v>8249</v>
      </c>
    </row>
    <row r="249" spans="1:3" x14ac:dyDescent="0.35">
      <c r="A249" t="s">
        <v>410</v>
      </c>
      <c r="B249">
        <v>1559.19</v>
      </c>
      <c r="C249">
        <v>8250</v>
      </c>
    </row>
    <row r="250" spans="1:3" x14ac:dyDescent="0.35">
      <c r="A250" t="s">
        <v>411</v>
      </c>
      <c r="B250">
        <v>1576.32</v>
      </c>
      <c r="C250">
        <v>8251</v>
      </c>
    </row>
    <row r="251" spans="1:3" x14ac:dyDescent="0.35">
      <c r="A251" t="s">
        <v>412</v>
      </c>
      <c r="B251">
        <v>1575.05</v>
      </c>
      <c r="C251">
        <v>8252</v>
      </c>
    </row>
    <row r="252" spans="1:3" x14ac:dyDescent="0.35">
      <c r="A252" t="s">
        <v>413</v>
      </c>
      <c r="B252">
        <v>1475.74</v>
      </c>
      <c r="C252">
        <v>8253</v>
      </c>
    </row>
    <row r="253" spans="1:3" x14ac:dyDescent="0.35">
      <c r="A253" t="s">
        <v>414</v>
      </c>
      <c r="B253">
        <v>1506.64</v>
      </c>
      <c r="C253">
        <v>8254</v>
      </c>
    </row>
    <row r="254" spans="1:3" x14ac:dyDescent="0.35">
      <c r="A254" t="s">
        <v>415</v>
      </c>
      <c r="B254">
        <v>1553.71</v>
      </c>
      <c r="C254">
        <v>8255</v>
      </c>
    </row>
    <row r="255" spans="1:3" x14ac:dyDescent="0.35">
      <c r="A255" t="s">
        <v>416</v>
      </c>
      <c r="B255">
        <v>1535.23</v>
      </c>
      <c r="C255">
        <v>8256</v>
      </c>
    </row>
    <row r="256" spans="1:3" x14ac:dyDescent="0.35">
      <c r="A256" t="s">
        <v>417</v>
      </c>
      <c r="B256">
        <v>1552.22</v>
      </c>
      <c r="C256">
        <v>8257</v>
      </c>
    </row>
    <row r="257" spans="1:3" x14ac:dyDescent="0.35">
      <c r="A257" t="s">
        <v>418</v>
      </c>
      <c r="B257">
        <v>1525.29</v>
      </c>
      <c r="C257">
        <v>8258</v>
      </c>
    </row>
    <row r="258" spans="1:3" x14ac:dyDescent="0.35">
      <c r="A258" t="s">
        <v>419</v>
      </c>
      <c r="B258">
        <v>1527.91</v>
      </c>
      <c r="C258">
        <v>8259</v>
      </c>
    </row>
    <row r="259" spans="1:3" x14ac:dyDescent="0.35">
      <c r="A259" t="s">
        <v>420</v>
      </c>
      <c r="B259">
        <v>1521.81</v>
      </c>
      <c r="C259">
        <v>8260</v>
      </c>
    </row>
    <row r="260" spans="1:3" x14ac:dyDescent="0.35">
      <c r="A260" t="s">
        <v>421</v>
      </c>
      <c r="B260">
        <v>1536.29</v>
      </c>
      <c r="C260">
        <v>8261</v>
      </c>
    </row>
    <row r="261" spans="1:3" x14ac:dyDescent="0.35">
      <c r="A261" t="s">
        <v>422</v>
      </c>
      <c r="B261">
        <v>1556.81</v>
      </c>
      <c r="C261">
        <v>8262</v>
      </c>
    </row>
    <row r="262" spans="1:3" x14ac:dyDescent="0.35">
      <c r="A262" t="s">
        <v>423</v>
      </c>
      <c r="B262">
        <v>1602.99</v>
      </c>
      <c r="C262">
        <v>8263</v>
      </c>
    </row>
    <row r="263" spans="1:3" x14ac:dyDescent="0.35">
      <c r="A263" t="s">
        <v>424</v>
      </c>
      <c r="B263">
        <v>1536.62</v>
      </c>
      <c r="C263">
        <v>8264</v>
      </c>
    </row>
    <row r="264" spans="1:3" x14ac:dyDescent="0.35">
      <c r="A264" t="s">
        <v>425</v>
      </c>
      <c r="B264">
        <v>1532.56</v>
      </c>
      <c r="C264">
        <v>8265</v>
      </c>
    </row>
    <row r="265" spans="1:3" x14ac:dyDescent="0.35">
      <c r="A265" t="s">
        <v>426</v>
      </c>
      <c r="B265">
        <v>1578.63</v>
      </c>
      <c r="C265">
        <v>8266</v>
      </c>
    </row>
    <row r="266" spans="1:3" x14ac:dyDescent="0.35">
      <c r="A266" t="s">
        <v>427</v>
      </c>
      <c r="B266">
        <v>1566.29</v>
      </c>
      <c r="C266">
        <v>8267</v>
      </c>
    </row>
    <row r="267" spans="1:3" x14ac:dyDescent="0.35">
      <c r="A267" t="s">
        <v>428</v>
      </c>
      <c r="B267">
        <v>1415.04</v>
      </c>
      <c r="C267">
        <v>8268</v>
      </c>
    </row>
    <row r="268" spans="1:3" x14ac:dyDescent="0.35">
      <c r="A268" t="s">
        <v>429</v>
      </c>
      <c r="B268">
        <v>1476.11</v>
      </c>
      <c r="C268">
        <v>8269</v>
      </c>
    </row>
    <row r="269" spans="1:3" x14ac:dyDescent="0.35">
      <c r="A269" t="s">
        <v>430</v>
      </c>
      <c r="B269">
        <v>1582.64</v>
      </c>
      <c r="C269">
        <v>8270</v>
      </c>
    </row>
    <row r="270" spans="1:3" x14ac:dyDescent="0.35">
      <c r="A270" t="s">
        <v>431</v>
      </c>
      <c r="B270">
        <v>1541.09</v>
      </c>
      <c r="C270">
        <v>8271</v>
      </c>
    </row>
    <row r="271" spans="1:3" x14ac:dyDescent="0.35">
      <c r="A271" t="s">
        <v>432</v>
      </c>
      <c r="B271">
        <v>1503.18</v>
      </c>
      <c r="C271">
        <v>8272</v>
      </c>
    </row>
    <row r="272" spans="1:3" x14ac:dyDescent="0.35">
      <c r="A272" t="s">
        <v>433</v>
      </c>
      <c r="B272">
        <v>1557.19</v>
      </c>
      <c r="C272">
        <v>8273</v>
      </c>
    </row>
    <row r="273" spans="1:3" x14ac:dyDescent="0.35">
      <c r="A273" t="s">
        <v>434</v>
      </c>
      <c r="B273">
        <v>1595.74</v>
      </c>
      <c r="C273">
        <v>8274</v>
      </c>
    </row>
    <row r="274" spans="1:3" x14ac:dyDescent="0.35">
      <c r="A274" t="s">
        <v>435</v>
      </c>
      <c r="B274">
        <v>1470.44</v>
      </c>
      <c r="C274">
        <v>8275</v>
      </c>
    </row>
    <row r="275" spans="1:3" x14ac:dyDescent="0.35">
      <c r="A275" t="s">
        <v>436</v>
      </c>
      <c r="B275">
        <v>1484.03</v>
      </c>
      <c r="C275">
        <v>8276</v>
      </c>
    </row>
    <row r="276" spans="1:3" x14ac:dyDescent="0.35">
      <c r="A276" t="s">
        <v>437</v>
      </c>
      <c r="B276">
        <v>1503.89</v>
      </c>
      <c r="C276">
        <v>8277</v>
      </c>
    </row>
    <row r="277" spans="1:3" x14ac:dyDescent="0.35">
      <c r="A277" t="s">
        <v>438</v>
      </c>
      <c r="B277">
        <v>1507.47</v>
      </c>
      <c r="C277">
        <v>8278</v>
      </c>
    </row>
    <row r="278" spans="1:3" x14ac:dyDescent="0.35">
      <c r="A278" t="s">
        <v>439</v>
      </c>
      <c r="B278">
        <v>1565.35</v>
      </c>
      <c r="C278">
        <v>8279</v>
      </c>
    </row>
    <row r="279" spans="1:3" x14ac:dyDescent="0.35">
      <c r="A279" t="s">
        <v>440</v>
      </c>
      <c r="B279">
        <v>1480.05</v>
      </c>
      <c r="C279">
        <v>8280</v>
      </c>
    </row>
    <row r="280" spans="1:3" x14ac:dyDescent="0.35">
      <c r="A280" t="s">
        <v>441</v>
      </c>
      <c r="B280">
        <v>1556.94</v>
      </c>
      <c r="C280">
        <v>8281</v>
      </c>
    </row>
    <row r="281" spans="1:3" x14ac:dyDescent="0.35">
      <c r="A281" t="s">
        <v>442</v>
      </c>
      <c r="B281">
        <v>1557.9</v>
      </c>
      <c r="C281">
        <v>8282</v>
      </c>
    </row>
    <row r="282" spans="1:3" x14ac:dyDescent="0.35">
      <c r="A282" t="s">
        <v>443</v>
      </c>
      <c r="B282">
        <v>1550.41</v>
      </c>
      <c r="C282">
        <v>8283</v>
      </c>
    </row>
    <row r="283" spans="1:3" x14ac:dyDescent="0.35">
      <c r="A283" t="s">
        <v>444</v>
      </c>
      <c r="B283">
        <v>1550.84</v>
      </c>
      <c r="C283">
        <v>8284</v>
      </c>
    </row>
    <row r="284" spans="1:3" x14ac:dyDescent="0.35">
      <c r="A284" t="s">
        <v>445</v>
      </c>
      <c r="B284">
        <v>1549.7</v>
      </c>
      <c r="C284">
        <v>8285</v>
      </c>
    </row>
    <row r="285" spans="1:3" x14ac:dyDescent="0.35">
      <c r="A285" t="s">
        <v>446</v>
      </c>
      <c r="B285">
        <v>1581.88</v>
      </c>
      <c r="C285">
        <v>8286</v>
      </c>
    </row>
    <row r="286" spans="1:3" x14ac:dyDescent="0.35">
      <c r="A286" t="s">
        <v>447</v>
      </c>
      <c r="B286">
        <v>1599.2</v>
      </c>
      <c r="C286">
        <v>8287</v>
      </c>
    </row>
    <row r="287" spans="1:3" x14ac:dyDescent="0.35">
      <c r="A287" t="s">
        <v>448</v>
      </c>
      <c r="B287">
        <v>1570.36</v>
      </c>
      <c r="C287">
        <v>8288</v>
      </c>
    </row>
    <row r="288" spans="1:3" x14ac:dyDescent="0.35">
      <c r="A288" t="s">
        <v>449</v>
      </c>
      <c r="B288">
        <v>1568.54</v>
      </c>
      <c r="C288">
        <v>8289</v>
      </c>
    </row>
    <row r="289" spans="1:3" x14ac:dyDescent="0.35">
      <c r="A289" t="s">
        <v>450</v>
      </c>
      <c r="B289">
        <v>1553.86</v>
      </c>
      <c r="C289">
        <v>8290</v>
      </c>
    </row>
    <row r="290" spans="1:3" x14ac:dyDescent="0.35">
      <c r="A290" t="s">
        <v>451</v>
      </c>
      <c r="B290">
        <v>1534.73</v>
      </c>
      <c r="C290">
        <v>8291</v>
      </c>
    </row>
    <row r="291" spans="1:3" x14ac:dyDescent="0.35">
      <c r="A291" t="s">
        <v>452</v>
      </c>
      <c r="B291">
        <v>1580.32</v>
      </c>
      <c r="C291">
        <v>8292</v>
      </c>
    </row>
    <row r="292" spans="1:3" x14ac:dyDescent="0.35">
      <c r="A292" t="s">
        <v>453</v>
      </c>
      <c r="B292">
        <v>1486.4</v>
      </c>
      <c r="C292">
        <v>8293</v>
      </c>
    </row>
    <row r="293" spans="1:3" x14ac:dyDescent="0.35">
      <c r="A293" t="s">
        <v>454</v>
      </c>
      <c r="B293">
        <v>1540.91</v>
      </c>
      <c r="C293">
        <v>8294</v>
      </c>
    </row>
    <row r="294" spans="1:3" x14ac:dyDescent="0.35">
      <c r="A294" t="s">
        <v>455</v>
      </c>
      <c r="B294">
        <v>1514</v>
      </c>
      <c r="C294">
        <v>8295</v>
      </c>
    </row>
    <row r="295" spans="1:3" x14ac:dyDescent="0.35">
      <c r="A295" t="s">
        <v>456</v>
      </c>
      <c r="B295">
        <v>1554.09</v>
      </c>
      <c r="C295">
        <v>8296</v>
      </c>
    </row>
    <row r="296" spans="1:3" x14ac:dyDescent="0.35">
      <c r="A296" t="s">
        <v>457</v>
      </c>
      <c r="B296">
        <v>1570.18</v>
      </c>
      <c r="C296">
        <v>8297</v>
      </c>
    </row>
    <row r="297" spans="1:3" x14ac:dyDescent="0.35">
      <c r="A297" t="s">
        <v>458</v>
      </c>
      <c r="B297">
        <v>1523.72</v>
      </c>
      <c r="C297">
        <v>8298</v>
      </c>
    </row>
    <row r="298" spans="1:3" x14ac:dyDescent="0.35">
      <c r="A298" t="s">
        <v>459</v>
      </c>
      <c r="B298">
        <v>1514.4</v>
      </c>
      <c r="C298">
        <v>8299</v>
      </c>
    </row>
    <row r="299" spans="1:3" x14ac:dyDescent="0.35">
      <c r="A299" t="s">
        <v>460</v>
      </c>
      <c r="B299">
        <v>1566.42</v>
      </c>
      <c r="C299">
        <v>8300</v>
      </c>
    </row>
    <row r="300" spans="1:3" x14ac:dyDescent="0.35">
      <c r="A300" t="s">
        <v>461</v>
      </c>
      <c r="B300">
        <v>1611.03</v>
      </c>
      <c r="C300">
        <v>8301</v>
      </c>
    </row>
    <row r="301" spans="1:3" x14ac:dyDescent="0.35">
      <c r="A301" t="s">
        <v>462</v>
      </c>
      <c r="B301">
        <v>1579.47</v>
      </c>
      <c r="C301">
        <v>8302</v>
      </c>
    </row>
    <row r="302" spans="1:3" x14ac:dyDescent="0.35">
      <c r="A302" t="s">
        <v>463</v>
      </c>
      <c r="B302">
        <v>1486.18</v>
      </c>
      <c r="C302">
        <v>8303</v>
      </c>
    </row>
    <row r="303" spans="1:3" x14ac:dyDescent="0.35">
      <c r="A303" t="s">
        <v>464</v>
      </c>
      <c r="B303">
        <v>1586.51</v>
      </c>
      <c r="C303">
        <v>8304</v>
      </c>
    </row>
    <row r="304" spans="1:3" x14ac:dyDescent="0.35">
      <c r="A304" t="s">
        <v>465</v>
      </c>
      <c r="B304">
        <v>1577.7</v>
      </c>
      <c r="C304">
        <v>8305</v>
      </c>
    </row>
    <row r="305" spans="1:3" x14ac:dyDescent="0.35">
      <c r="A305" t="s">
        <v>466</v>
      </c>
      <c r="B305">
        <v>1504.85</v>
      </c>
      <c r="C305">
        <v>8306</v>
      </c>
    </row>
    <row r="306" spans="1:3" x14ac:dyDescent="0.35">
      <c r="A306" t="s">
        <v>467</v>
      </c>
      <c r="B306">
        <v>1587.3</v>
      </c>
      <c r="C306">
        <v>8307</v>
      </c>
    </row>
    <row r="307" spans="1:3" x14ac:dyDescent="0.35">
      <c r="A307" t="s">
        <v>468</v>
      </c>
      <c r="B307">
        <v>1579.06</v>
      </c>
      <c r="C307">
        <v>8308</v>
      </c>
    </row>
    <row r="308" spans="1:3" x14ac:dyDescent="0.35">
      <c r="A308" t="s">
        <v>469</v>
      </c>
      <c r="B308">
        <v>1454.78</v>
      </c>
      <c r="C308">
        <v>8901</v>
      </c>
    </row>
    <row r="309" spans="1:3" x14ac:dyDescent="0.35">
      <c r="A309" t="s">
        <v>470</v>
      </c>
      <c r="B309">
        <v>1550.76</v>
      </c>
      <c r="C309">
        <v>8902</v>
      </c>
    </row>
    <row r="310" spans="1:3" x14ac:dyDescent="0.35">
      <c r="A310" t="s">
        <v>471</v>
      </c>
      <c r="B310">
        <v>1481.9</v>
      </c>
      <c r="C310">
        <v>8903</v>
      </c>
    </row>
    <row r="311" spans="1:3" x14ac:dyDescent="0.35">
      <c r="A311" t="s">
        <v>472</v>
      </c>
      <c r="B311">
        <v>1572.85</v>
      </c>
      <c r="C311">
        <v>8904</v>
      </c>
    </row>
    <row r="312" spans="1:3" x14ac:dyDescent="0.35">
      <c r="A312" t="s">
        <v>473</v>
      </c>
      <c r="B312">
        <v>1554.69</v>
      </c>
      <c r="C312">
        <v>8905</v>
      </c>
    </row>
  </sheetData>
  <phoneticPr fontId="2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3583B-B7C3-4D1F-BE85-1CD062DE5BC3}">
  <dimension ref="B4:C18"/>
  <sheetViews>
    <sheetView showGridLines="0" workbookViewId="0"/>
  </sheetViews>
  <sheetFormatPr defaultRowHeight="14.5" x14ac:dyDescent="0.35"/>
  <sheetData>
    <row r="4" spans="2:3" s="6" customFormat="1" ht="18.5" x14ac:dyDescent="0.45">
      <c r="B4" s="6" t="s">
        <v>8</v>
      </c>
    </row>
    <row r="5" spans="2:3" s="6" customFormat="1" ht="18.5" x14ac:dyDescent="0.45"/>
    <row r="6" spans="2:3" s="6" customFormat="1" ht="18.5" x14ac:dyDescent="0.45">
      <c r="B6" s="6" t="s">
        <v>9</v>
      </c>
    </row>
    <row r="7" spans="2:3" s="6" customFormat="1" ht="18.5" x14ac:dyDescent="0.45"/>
    <row r="8" spans="2:3" s="120" customFormat="1" ht="18.5" x14ac:dyDescent="0.45">
      <c r="B8" s="6" t="s">
        <v>10</v>
      </c>
    </row>
    <row r="9" spans="2:3" s="6" customFormat="1" ht="18.5" x14ac:dyDescent="0.45"/>
    <row r="10" spans="2:3" s="6" customFormat="1" ht="18.5" x14ac:dyDescent="0.45">
      <c r="B10" s="121"/>
      <c r="C10" s="6" t="s">
        <v>11</v>
      </c>
    </row>
    <row r="11" spans="2:3" s="7" customFormat="1" x14ac:dyDescent="0.35"/>
    <row r="12" spans="2:3" s="7" customFormat="1" ht="18.5" x14ac:dyDescent="0.45">
      <c r="B12" s="124"/>
      <c r="C12" s="6" t="s">
        <v>12</v>
      </c>
    </row>
    <row r="14" spans="2:3" s="6" customFormat="1" ht="18.5" x14ac:dyDescent="0.45"/>
    <row r="15" spans="2:3" s="7" customFormat="1" x14ac:dyDescent="0.35"/>
    <row r="16" spans="2:3" s="7" customFormat="1" x14ac:dyDescent="0.35"/>
    <row r="17" spans="2:2" x14ac:dyDescent="0.35">
      <c r="B17" s="7"/>
    </row>
    <row r="18" spans="2:2" x14ac:dyDescent="0.35">
      <c r="B18" s="7"/>
    </row>
  </sheetData>
  <sheetProtection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6970D-501D-49A6-9128-61EDF0184AE7}">
  <dimension ref="B3:P24"/>
  <sheetViews>
    <sheetView showGridLines="0" workbookViewId="0">
      <selection activeCell="B20" sqref="B20:E24"/>
    </sheetView>
  </sheetViews>
  <sheetFormatPr defaultRowHeight="14.5" x14ac:dyDescent="0.35"/>
  <cols>
    <col min="2" max="2" width="54.453125" customWidth="1"/>
    <col min="3" max="5" width="18" customWidth="1"/>
  </cols>
  <sheetData>
    <row r="3" spans="2:16" ht="21" x14ac:dyDescent="0.5">
      <c r="B3" s="8" t="s">
        <v>13</v>
      </c>
      <c r="C3" s="23" t="s">
        <v>225</v>
      </c>
    </row>
    <row r="4" spans="2:16" x14ac:dyDescent="0.35">
      <c r="B4" s="9" t="s">
        <v>15</v>
      </c>
      <c r="C4" s="10">
        <f>IFERROR(VLOOKUP(C3,codiine,3,FALSE),"")</f>
        <v>8063</v>
      </c>
    </row>
    <row r="5" spans="2:16" x14ac:dyDescent="0.35">
      <c r="B5" s="11"/>
    </row>
    <row r="6" spans="2:16" x14ac:dyDescent="0.35">
      <c r="B6" s="8" t="s">
        <v>16</v>
      </c>
      <c r="C6" s="24">
        <v>1</v>
      </c>
    </row>
    <row r="7" spans="2:16" x14ac:dyDescent="0.35">
      <c r="B7" s="12" t="s">
        <v>17</v>
      </c>
      <c r="C7" s="25">
        <v>100</v>
      </c>
      <c r="D7" s="29">
        <f>IFERROR(VLOOKUP(C3,codiine,2,FALSE)*0.87*C7,"")</f>
        <v>135164.93999999997</v>
      </c>
    </row>
    <row r="8" spans="2:16" x14ac:dyDescent="0.35">
      <c r="B8" s="13" t="s">
        <v>18</v>
      </c>
      <c r="C8" s="123">
        <v>124300</v>
      </c>
    </row>
    <row r="9" spans="2:16" x14ac:dyDescent="0.35">
      <c r="B9" s="14" t="s">
        <v>19</v>
      </c>
      <c r="C9" s="122">
        <f>IF(C8&gt;0,C8,D7)</f>
        <v>124300</v>
      </c>
    </row>
    <row r="11" spans="2:16" x14ac:dyDescent="0.35">
      <c r="P11" s="125"/>
    </row>
    <row r="12" spans="2:16" ht="15" thickBot="1" x14ac:dyDescent="0.4">
      <c r="B12" s="15"/>
      <c r="C12" s="18" t="s">
        <v>20</v>
      </c>
      <c r="D12" s="19" t="s">
        <v>21</v>
      </c>
      <c r="E12" s="19" t="s">
        <v>22</v>
      </c>
    </row>
    <row r="13" spans="2:16" x14ac:dyDescent="0.35">
      <c r="B13" s="16" t="s">
        <v>23</v>
      </c>
      <c r="C13" s="26">
        <v>0.2</v>
      </c>
      <c r="D13" s="26">
        <v>0.3</v>
      </c>
      <c r="E13" s="26">
        <v>0.4</v>
      </c>
    </row>
    <row r="14" spans="2:16" ht="15" thickBot="1" x14ac:dyDescent="0.4">
      <c r="B14" s="9" t="s">
        <v>24</v>
      </c>
      <c r="C14" s="17">
        <f>1-C13</f>
        <v>0.8</v>
      </c>
      <c r="D14" s="17">
        <f t="shared" ref="D14:E14" si="0">1-D13</f>
        <v>0.7</v>
      </c>
      <c r="E14" s="17">
        <f t="shared" si="0"/>
        <v>0.6</v>
      </c>
    </row>
    <row r="15" spans="2:16" x14ac:dyDescent="0.35">
      <c r="B15" s="16" t="s">
        <v>25</v>
      </c>
      <c r="C15" s="20">
        <f>C13*$C$7</f>
        <v>20</v>
      </c>
      <c r="D15" s="20">
        <f t="shared" ref="D15:E15" si="1">D13*$C$7</f>
        <v>30</v>
      </c>
      <c r="E15" s="20">
        <f t="shared" si="1"/>
        <v>40</v>
      </c>
    </row>
    <row r="16" spans="2:16" x14ac:dyDescent="0.35">
      <c r="B16" s="9" t="s">
        <v>26</v>
      </c>
      <c r="C16" s="21">
        <f>$C$7-C15</f>
        <v>80</v>
      </c>
      <c r="D16" s="21">
        <f t="shared" ref="D16:E16" si="2">$C$7-D15</f>
        <v>70</v>
      </c>
      <c r="E16" s="21">
        <f t="shared" si="2"/>
        <v>60</v>
      </c>
    </row>
    <row r="17" spans="2:5" x14ac:dyDescent="0.35">
      <c r="B17" s="14" t="s">
        <v>27</v>
      </c>
      <c r="C17" s="28">
        <f>C23+C24</f>
        <v>80</v>
      </c>
      <c r="D17" s="28">
        <f t="shared" ref="D17:E17" si="3">D23+D24</f>
        <v>65</v>
      </c>
      <c r="E17" s="28">
        <f t="shared" si="3"/>
        <v>30</v>
      </c>
    </row>
    <row r="20" spans="2:5" ht="15" thickBot="1" x14ac:dyDescent="0.4">
      <c r="B20" s="15" t="s">
        <v>28</v>
      </c>
      <c r="C20" s="18" t="s">
        <v>20</v>
      </c>
      <c r="D20" s="19" t="s">
        <v>21</v>
      </c>
      <c r="E20" s="19" t="s">
        <v>22</v>
      </c>
    </row>
    <row r="21" spans="2:5" x14ac:dyDescent="0.35">
      <c r="B21" s="16" t="s">
        <v>29</v>
      </c>
      <c r="C21" s="126">
        <v>1</v>
      </c>
      <c r="D21" s="126">
        <v>1</v>
      </c>
      <c r="E21" s="126">
        <v>1</v>
      </c>
    </row>
    <row r="22" spans="2:5" x14ac:dyDescent="0.35">
      <c r="B22" s="12" t="s">
        <v>30</v>
      </c>
      <c r="C22" s="127">
        <v>1</v>
      </c>
      <c r="D22" s="127">
        <v>4</v>
      </c>
      <c r="E22" s="127">
        <v>4</v>
      </c>
    </row>
    <row r="23" spans="2:5" x14ac:dyDescent="0.35">
      <c r="B23" s="12" t="s">
        <v>31</v>
      </c>
      <c r="C23" s="127">
        <v>40</v>
      </c>
      <c r="D23" s="127">
        <v>35</v>
      </c>
      <c r="E23" s="127">
        <v>20</v>
      </c>
    </row>
    <row r="24" spans="2:5" x14ac:dyDescent="0.35">
      <c r="B24" s="9" t="s">
        <v>32</v>
      </c>
      <c r="C24" s="27">
        <f>(C16-C23*C21)/C22</f>
        <v>40</v>
      </c>
      <c r="D24" s="27">
        <v>30</v>
      </c>
      <c r="E24" s="27">
        <f t="shared" ref="E24" si="4">(E16-E23*E21)/E22</f>
        <v>10</v>
      </c>
    </row>
  </sheetData>
  <sheetProtection sheet="1" objects="1" scenarios="1"/>
  <conditionalFormatting sqref="C9">
    <cfRule type="expression" dxfId="0" priority="1">
      <formula>#REF!="No"</formula>
    </cfRule>
  </conditionalFormatting>
  <dataValidations count="1">
    <dataValidation type="list" allowBlank="1" showInputMessage="1" showErrorMessage="1" promptTitle="Important!" prompt="Les caselles blaves són per omplir" sqref="C3" xr:uid="{32F00B6E-311F-4FED-9F59-38E48E8AD5C7}">
      <formula1>municipi</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B8917-A807-4C12-83EE-2DA631994DB4}">
  <dimension ref="A1:N41"/>
  <sheetViews>
    <sheetView showGridLines="0" zoomScale="85" zoomScaleNormal="85" workbookViewId="0">
      <selection activeCell="B41" sqref="B41"/>
    </sheetView>
  </sheetViews>
  <sheetFormatPr defaultRowHeight="14.5" x14ac:dyDescent="0.35"/>
  <cols>
    <col min="1" max="1" width="54" customWidth="1"/>
    <col min="2" max="2" width="19.26953125" customWidth="1"/>
    <col min="3" max="5" width="10.1796875" customWidth="1"/>
    <col min="11" max="11" width="56.453125" customWidth="1"/>
  </cols>
  <sheetData>
    <row r="1" spans="1:14" ht="16" thickBot="1" x14ac:dyDescent="0.4">
      <c r="A1" s="30" t="s">
        <v>33</v>
      </c>
      <c r="K1" s="51"/>
      <c r="L1" s="52" t="s">
        <v>20</v>
      </c>
      <c r="M1" s="53" t="s">
        <v>21</v>
      </c>
      <c r="N1" s="54" t="s">
        <v>22</v>
      </c>
    </row>
    <row r="2" spans="1:14" x14ac:dyDescent="0.35">
      <c r="A2" s="8" t="s">
        <v>34</v>
      </c>
      <c r="B2" s="31">
        <v>105000</v>
      </c>
      <c r="K2" s="55" t="s">
        <v>23</v>
      </c>
      <c r="L2" s="50">
        <f>'1. Dades instal·lació'!C13</f>
        <v>0.2</v>
      </c>
      <c r="M2" s="50">
        <f>'1. Dades instal·lació'!D13</f>
        <v>0.3</v>
      </c>
      <c r="N2" s="56">
        <f>'1. Dades instal·lació'!E13</f>
        <v>0.4</v>
      </c>
    </row>
    <row r="3" spans="1:14" x14ac:dyDescent="0.35">
      <c r="A3" s="12" t="s">
        <v>35</v>
      </c>
      <c r="B3" s="25">
        <v>25</v>
      </c>
      <c r="K3" s="57" t="s">
        <v>24</v>
      </c>
      <c r="L3" s="58">
        <f>'1. Dades instal·lació'!C14</f>
        <v>0.8</v>
      </c>
      <c r="M3" s="58">
        <f>'1. Dades instal·lació'!D14</f>
        <v>0.7</v>
      </c>
      <c r="N3" s="59">
        <f>'1. Dades instal·lació'!E14</f>
        <v>0.6</v>
      </c>
    </row>
    <row r="4" spans="1:14" x14ac:dyDescent="0.35">
      <c r="A4" s="12" t="s">
        <v>36</v>
      </c>
      <c r="B4" s="32">
        <f>B2/B3</f>
        <v>4200</v>
      </c>
      <c r="K4" s="57" t="s">
        <v>25</v>
      </c>
      <c r="L4" s="60">
        <f>'1. Dades instal·lació'!C15</f>
        <v>20</v>
      </c>
      <c r="M4" s="60">
        <f>'1. Dades instal·lació'!D15</f>
        <v>30</v>
      </c>
      <c r="N4" s="61">
        <f>'1. Dades instal·lació'!E15</f>
        <v>40</v>
      </c>
    </row>
    <row r="5" spans="1:14" x14ac:dyDescent="0.35">
      <c r="A5" s="9" t="s">
        <v>37</v>
      </c>
      <c r="B5" s="128">
        <v>80000</v>
      </c>
      <c r="C5" s="115">
        <f>B5/B3</f>
        <v>3200</v>
      </c>
      <c r="K5" s="57" t="s">
        <v>26</v>
      </c>
      <c r="L5" s="60">
        <f>'1. Dades instal·lació'!C16</f>
        <v>80</v>
      </c>
      <c r="M5" s="60">
        <f>'1. Dades instal·lació'!D16</f>
        <v>70</v>
      </c>
      <c r="N5" s="61">
        <f>'1. Dades instal·lació'!E16</f>
        <v>60</v>
      </c>
    </row>
    <row r="6" spans="1:14" ht="15" thickBot="1" x14ac:dyDescent="0.4">
      <c r="A6" s="13"/>
      <c r="B6" s="35"/>
      <c r="K6" s="62" t="s">
        <v>27</v>
      </c>
      <c r="L6" s="63">
        <f>'1. Dades instal·lació'!C17</f>
        <v>80</v>
      </c>
      <c r="M6" s="63">
        <f>'1. Dades instal·lació'!D17</f>
        <v>65</v>
      </c>
      <c r="N6" s="64">
        <f>'1. Dades instal·lació'!E17</f>
        <v>30</v>
      </c>
    </row>
    <row r="7" spans="1:14" x14ac:dyDescent="0.35">
      <c r="A7" s="36" t="s">
        <v>38</v>
      </c>
      <c r="B7" s="37"/>
    </row>
    <row r="8" spans="1:14" x14ac:dyDescent="0.35">
      <c r="A8" s="34" t="s">
        <v>39</v>
      </c>
      <c r="B8" s="129">
        <v>0.01</v>
      </c>
      <c r="C8" s="38" t="s">
        <v>40</v>
      </c>
    </row>
    <row r="9" spans="1:14" x14ac:dyDescent="0.35">
      <c r="A9" s="34" t="s">
        <v>41</v>
      </c>
      <c r="B9" s="130"/>
      <c r="C9" s="38" t="s">
        <v>42</v>
      </c>
    </row>
    <row r="10" spans="1:14" x14ac:dyDescent="0.35">
      <c r="A10" s="12" t="s">
        <v>41</v>
      </c>
      <c r="B10" s="32">
        <f>IF(B9&gt;0,B9,B2*B8)</f>
        <v>1050</v>
      </c>
    </row>
    <row r="11" spans="1:14" x14ac:dyDescent="0.35">
      <c r="A11" s="34" t="s">
        <v>43</v>
      </c>
      <c r="B11" s="131">
        <v>8.9999999999999998E-4</v>
      </c>
      <c r="C11" s="38" t="s">
        <v>40</v>
      </c>
    </row>
    <row r="12" spans="1:14" x14ac:dyDescent="0.35">
      <c r="A12" s="34" t="s">
        <v>44</v>
      </c>
      <c r="B12" s="132"/>
      <c r="C12" s="38" t="s">
        <v>42</v>
      </c>
    </row>
    <row r="13" spans="1:14" x14ac:dyDescent="0.35">
      <c r="A13" s="9" t="s">
        <v>45</v>
      </c>
      <c r="B13" s="39">
        <f>IF(B12&gt;0,B12,B2*B11)</f>
        <v>94.5</v>
      </c>
    </row>
    <row r="14" spans="1:14" ht="7.5" customHeight="1" x14ac:dyDescent="0.35"/>
    <row r="15" spans="1:14" x14ac:dyDescent="0.35">
      <c r="A15" s="36" t="s">
        <v>46</v>
      </c>
      <c r="B15" s="37"/>
    </row>
    <row r="16" spans="1:14" x14ac:dyDescent="0.35">
      <c r="A16" s="34" t="s">
        <v>47</v>
      </c>
      <c r="B16" s="129">
        <v>5.0000000000000001E-3</v>
      </c>
      <c r="C16" s="38" t="s">
        <v>40</v>
      </c>
    </row>
    <row r="17" spans="1:5" x14ac:dyDescent="0.35">
      <c r="A17" s="34" t="s">
        <v>48</v>
      </c>
      <c r="B17" s="130"/>
      <c r="C17" s="38" t="s">
        <v>42</v>
      </c>
    </row>
    <row r="18" spans="1:5" x14ac:dyDescent="0.35">
      <c r="A18" s="9" t="s">
        <v>48</v>
      </c>
      <c r="B18" s="39">
        <f>IF(B17&gt;0,B17,B2*B16)</f>
        <v>525</v>
      </c>
    </row>
    <row r="19" spans="1:5" ht="8.25" customHeight="1" x14ac:dyDescent="0.35"/>
    <row r="20" spans="1:5" x14ac:dyDescent="0.35">
      <c r="A20" s="36" t="s">
        <v>49</v>
      </c>
      <c r="B20" s="40"/>
    </row>
    <row r="21" spans="1:5" x14ac:dyDescent="0.35">
      <c r="A21" s="34" t="s">
        <v>50</v>
      </c>
      <c r="B21" s="31"/>
    </row>
    <row r="22" spans="1:5" x14ac:dyDescent="0.35">
      <c r="A22" s="34" t="s">
        <v>51</v>
      </c>
      <c r="B22" s="136"/>
    </row>
    <row r="23" spans="1:5" x14ac:dyDescent="0.35">
      <c r="A23" s="34" t="s">
        <v>52</v>
      </c>
      <c r="B23" s="136"/>
    </row>
    <row r="24" spans="1:5" x14ac:dyDescent="0.35">
      <c r="A24" s="34" t="s">
        <v>53</v>
      </c>
      <c r="B24" s="136"/>
    </row>
    <row r="25" spans="1:5" x14ac:dyDescent="0.35">
      <c r="A25" s="33" t="s">
        <v>54</v>
      </c>
      <c r="B25" s="133">
        <v>4</v>
      </c>
    </row>
    <row r="26" spans="1:5" x14ac:dyDescent="0.35">
      <c r="A26" s="33" t="s">
        <v>55</v>
      </c>
      <c r="B26" s="133">
        <v>0</v>
      </c>
      <c r="C26" s="38" t="s">
        <v>42</v>
      </c>
    </row>
    <row r="27" spans="1:5" x14ac:dyDescent="0.35">
      <c r="A27" s="9" t="s">
        <v>56</v>
      </c>
      <c r="B27" s="39">
        <f>IF(B26=0,SUM(B21:B24)/B25,B26)</f>
        <v>0</v>
      </c>
    </row>
    <row r="28" spans="1:5" ht="8.25" customHeight="1" x14ac:dyDescent="0.35"/>
    <row r="29" spans="1:5" x14ac:dyDescent="0.35">
      <c r="A29" s="36" t="s">
        <v>57</v>
      </c>
      <c r="B29" s="40"/>
      <c r="C29" s="36" t="s">
        <v>20</v>
      </c>
      <c r="D29" s="36" t="s">
        <v>21</v>
      </c>
      <c r="E29" s="36" t="s">
        <v>22</v>
      </c>
    </row>
    <row r="30" spans="1:5" x14ac:dyDescent="0.35">
      <c r="A30" s="8" t="s">
        <v>58</v>
      </c>
      <c r="B30" s="134">
        <v>28</v>
      </c>
      <c r="C30" s="95">
        <f>$B30*'1. Dades instal·lació'!C$17</f>
        <v>2240</v>
      </c>
      <c r="D30" s="95">
        <f>$B30*'1. Dades instal·lació'!D17</f>
        <v>1820</v>
      </c>
      <c r="E30" s="95">
        <f>$B30*'1. Dades instal·lació'!E17</f>
        <v>840</v>
      </c>
    </row>
    <row r="31" spans="1:5" x14ac:dyDescent="0.35">
      <c r="A31" s="12" t="s">
        <v>59</v>
      </c>
      <c r="B31" s="132">
        <v>30</v>
      </c>
      <c r="C31" s="96">
        <f>$B31*'1. Dades instal·lació'!C$17</f>
        <v>2400</v>
      </c>
      <c r="D31" s="96">
        <f>$B31*'1. Dades instal·lació'!D$17</f>
        <v>1950</v>
      </c>
      <c r="E31" s="96">
        <f>$B31*'1. Dades instal·lació'!E$17</f>
        <v>900</v>
      </c>
    </row>
    <row r="32" spans="1:5" x14ac:dyDescent="0.35">
      <c r="A32" s="12" t="s">
        <v>60</v>
      </c>
      <c r="B32" s="132">
        <v>8</v>
      </c>
      <c r="C32" s="96">
        <f>$B32*'1. Dades instal·lació'!$C$17</f>
        <v>640</v>
      </c>
      <c r="D32" s="96">
        <f>$B32*'1. Dades instal·lació'!$C$17</f>
        <v>640</v>
      </c>
      <c r="E32" s="96">
        <f>$B32*'1. Dades instal·lació'!$C$17</f>
        <v>640</v>
      </c>
    </row>
    <row r="33" spans="1:6" x14ac:dyDescent="0.35">
      <c r="A33" s="33" t="s">
        <v>61</v>
      </c>
      <c r="B33" s="99"/>
      <c r="C33" s="135"/>
      <c r="D33" s="135"/>
      <c r="E33" s="135"/>
      <c r="F33" s="38" t="s">
        <v>42</v>
      </c>
    </row>
    <row r="34" spans="1:6" x14ac:dyDescent="0.35">
      <c r="A34" s="9" t="s">
        <v>62</v>
      </c>
      <c r="B34" s="98"/>
      <c r="C34" s="97">
        <f>IF(C33&gt;0,C33,SUM(C30:C32))</f>
        <v>5280</v>
      </c>
      <c r="D34" s="97">
        <f t="shared" ref="D34:E34" si="0">IF(D33&gt;0,D33,SUM(D30:D32))</f>
        <v>4410</v>
      </c>
      <c r="E34" s="97">
        <f t="shared" si="0"/>
        <v>2380</v>
      </c>
    </row>
    <row r="35" spans="1:6" ht="13.5" customHeight="1" x14ac:dyDescent="0.35"/>
    <row r="36" spans="1:6" x14ac:dyDescent="0.35">
      <c r="A36" s="36" t="s">
        <v>63</v>
      </c>
      <c r="B36" s="40"/>
      <c r="C36" s="36" t="s">
        <v>20</v>
      </c>
      <c r="D36" s="36" t="s">
        <v>21</v>
      </c>
      <c r="E36" s="36" t="s">
        <v>22</v>
      </c>
    </row>
    <row r="37" spans="1:6" x14ac:dyDescent="0.35">
      <c r="A37" s="14" t="s">
        <v>64</v>
      </c>
      <c r="B37" s="137">
        <f>3.04/1.21</f>
        <v>2.5123966942148761</v>
      </c>
      <c r="C37" s="100">
        <f>$B$37*L6</f>
        <v>200.9917355371901</v>
      </c>
      <c r="D37" s="100">
        <f t="shared" ref="D37:E37" si="1">$B$37*M6</f>
        <v>163.30578512396696</v>
      </c>
      <c r="E37" s="100">
        <f t="shared" si="1"/>
        <v>75.371900826446279</v>
      </c>
    </row>
    <row r="38" spans="1:6" x14ac:dyDescent="0.35">
      <c r="A38" s="38" t="str">
        <f>VLOOKUP(A37,tramita,2,FALSE)</f>
        <v>Gestió realitzada per l’ajuntament (€/CUPS.any)</v>
      </c>
    </row>
    <row r="40" spans="1:6" x14ac:dyDescent="0.35">
      <c r="A40" s="145" t="s">
        <v>65</v>
      </c>
      <c r="B40" s="147"/>
    </row>
    <row r="41" spans="1:6" x14ac:dyDescent="0.35">
      <c r="A41" s="146" t="s">
        <v>66</v>
      </c>
      <c r="B41" s="148"/>
    </row>
  </sheetData>
  <sheetProtection sheet="1" objects="1" scenarios="1"/>
  <dataValidations count="1">
    <dataValidation type="list" allowBlank="1" showInputMessage="1" showErrorMessage="1" sqref="A37" xr:uid="{C7A79FAC-08B4-42B5-B898-84F13D964559}">
      <formula1>tramit</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69DC6-4F2F-4185-B059-A9FB9158C12C}">
  <dimension ref="A1:J33"/>
  <sheetViews>
    <sheetView showGridLines="0" tabSelected="1" topLeftCell="B1" zoomScale="90" zoomScaleNormal="90" workbookViewId="0">
      <selection activeCell="G37" sqref="G37"/>
    </sheetView>
  </sheetViews>
  <sheetFormatPr defaultRowHeight="14.5" x14ac:dyDescent="0.35"/>
  <cols>
    <col min="1" max="1" width="81.1796875" customWidth="1"/>
    <col min="2" max="4" width="25.453125" customWidth="1"/>
    <col min="5" max="6" width="3" customWidth="1"/>
    <col min="7" max="7" width="76.1796875" customWidth="1"/>
    <col min="8" max="10" width="13.81640625" customWidth="1"/>
  </cols>
  <sheetData>
    <row r="1" spans="1:10" ht="15" thickBot="1" x14ac:dyDescent="0.4">
      <c r="A1" s="15" t="s">
        <v>67</v>
      </c>
      <c r="B1" s="18" t="s">
        <v>20</v>
      </c>
      <c r="C1" s="19" t="s">
        <v>21</v>
      </c>
      <c r="D1" s="19" t="s">
        <v>22</v>
      </c>
      <c r="G1" s="36" t="s">
        <v>68</v>
      </c>
      <c r="H1" s="18" t="s">
        <v>20</v>
      </c>
      <c r="I1" s="19" t="s">
        <v>21</v>
      </c>
      <c r="J1" s="19" t="s">
        <v>22</v>
      </c>
    </row>
    <row r="2" spans="1:10" x14ac:dyDescent="0.35">
      <c r="A2" s="16" t="s">
        <v>23</v>
      </c>
      <c r="B2" s="41">
        <f>'1. Dades instal·lació'!C13</f>
        <v>0.2</v>
      </c>
      <c r="C2" s="41">
        <f>'1. Dades instal·lació'!D13</f>
        <v>0.3</v>
      </c>
      <c r="D2" s="41">
        <f>'1. Dades instal·lació'!E13</f>
        <v>0.4</v>
      </c>
      <c r="G2" s="8" t="s">
        <v>69</v>
      </c>
      <c r="H2" s="138">
        <v>10</v>
      </c>
      <c r="I2" s="138">
        <v>10</v>
      </c>
      <c r="J2" s="138">
        <v>10</v>
      </c>
    </row>
    <row r="3" spans="1:10" x14ac:dyDescent="0.35">
      <c r="A3" s="12" t="s">
        <v>24</v>
      </c>
      <c r="B3" s="42">
        <f>'1. Dades instal·lació'!C14</f>
        <v>0.8</v>
      </c>
      <c r="C3" s="42">
        <f>'1. Dades instal·lació'!D14</f>
        <v>0.7</v>
      </c>
      <c r="D3" s="42">
        <f>'1. Dades instal·lació'!E14</f>
        <v>0.6</v>
      </c>
      <c r="G3" s="12" t="s">
        <v>70</v>
      </c>
      <c r="H3" s="127">
        <v>0.5</v>
      </c>
      <c r="I3" s="127">
        <v>0.5</v>
      </c>
      <c r="J3" s="127">
        <v>0.5</v>
      </c>
    </row>
    <row r="4" spans="1:10" x14ac:dyDescent="0.35">
      <c r="A4" s="12" t="s">
        <v>25</v>
      </c>
      <c r="B4" s="43">
        <f>'1. Dades instal·lació'!C15</f>
        <v>20</v>
      </c>
      <c r="C4" s="43">
        <f>'1. Dades instal·lació'!D15</f>
        <v>30</v>
      </c>
      <c r="D4" s="43">
        <f>'1. Dades instal·lació'!E15</f>
        <v>40</v>
      </c>
      <c r="G4" s="12" t="s">
        <v>71</v>
      </c>
      <c r="H4" s="43">
        <f>H6*H12/100</f>
        <v>45</v>
      </c>
      <c r="I4" s="43">
        <f t="shared" ref="I4:J4" si="0">I6*I12/100</f>
        <v>60</v>
      </c>
      <c r="J4" s="43">
        <f t="shared" si="0"/>
        <v>50</v>
      </c>
    </row>
    <row r="5" spans="1:10" x14ac:dyDescent="0.35">
      <c r="A5" s="12" t="s">
        <v>26</v>
      </c>
      <c r="B5" s="43">
        <f>'1. Dades instal·lació'!C16</f>
        <v>80</v>
      </c>
      <c r="C5" s="43">
        <f>'1. Dades instal·lació'!D16</f>
        <v>70</v>
      </c>
      <c r="D5" s="43">
        <f>'1. Dades instal·lació'!E16</f>
        <v>60</v>
      </c>
      <c r="G5" s="9" t="s">
        <v>72</v>
      </c>
      <c r="H5" s="27">
        <f>ROUND((H10-H8-H4*H15)/H14,2)</f>
        <v>98.55</v>
      </c>
      <c r="I5" s="27">
        <f t="shared" ref="I5:J5" si="1">ROUND((I10-I8-I4*I15)/I14,2)</f>
        <v>94.49</v>
      </c>
      <c r="J5" s="27">
        <f t="shared" si="1"/>
        <v>69.22</v>
      </c>
    </row>
    <row r="6" spans="1:10" x14ac:dyDescent="0.35">
      <c r="A6" s="12" t="s">
        <v>27</v>
      </c>
      <c r="B6" s="44">
        <f>'1. Dades instal·lació'!C17</f>
        <v>80</v>
      </c>
      <c r="C6" s="44">
        <f>'1. Dades instal·lació'!D17</f>
        <v>65</v>
      </c>
      <c r="D6" s="44">
        <f>'1. Dades instal·lació'!E17</f>
        <v>30</v>
      </c>
      <c r="G6" s="13" t="s">
        <v>73</v>
      </c>
      <c r="H6" s="139">
        <v>90</v>
      </c>
      <c r="I6" s="139">
        <v>120</v>
      </c>
      <c r="J6" s="139">
        <v>100</v>
      </c>
    </row>
    <row r="7" spans="1:10" ht="15" thickBot="1" x14ac:dyDescent="0.4">
      <c r="A7" s="45" t="s">
        <v>74</v>
      </c>
      <c r="B7" s="46">
        <f>'1. Dades instal·lació'!C6</f>
        <v>1</v>
      </c>
      <c r="C7" s="46">
        <f>B7</f>
        <v>1</v>
      </c>
      <c r="D7" s="46">
        <f>B7</f>
        <v>1</v>
      </c>
      <c r="G7" s="34" t="s">
        <v>75</v>
      </c>
      <c r="H7" s="103">
        <f>H4*H15+H6*H14</f>
        <v>6975</v>
      </c>
      <c r="I7" s="103">
        <f t="shared" ref="I7:J7" si="2">I4*I15+I6*I14</f>
        <v>8100</v>
      </c>
      <c r="J7" s="103">
        <f t="shared" si="2"/>
        <v>5750</v>
      </c>
    </row>
    <row r="8" spans="1:10" ht="15.5" x14ac:dyDescent="0.35">
      <c r="A8" s="47" t="s">
        <v>76</v>
      </c>
      <c r="B8" s="68" t="str">
        <f>CONCATENATE("x",B5,"kWp comp/",'1. Dades instal·lació'!$C$7,"Kwp totals")</f>
        <v>x80kWp comp/100Kwp totals</v>
      </c>
      <c r="C8" s="68" t="str">
        <f>CONCATENATE("x",C5,"kWp comp/",'1. Dades instal·lació'!$C$7,"Kwp totals")</f>
        <v>x70kWp comp/100Kwp totals</v>
      </c>
      <c r="D8" s="68" t="str">
        <f>CONCATENATE("x",D5,"kWp comp/",'1. Dades instal·lació'!$C$7,"Kwp totals")</f>
        <v>x60kWp comp/100Kwp totals</v>
      </c>
      <c r="G8" s="12" t="s">
        <v>77</v>
      </c>
      <c r="H8" s="113">
        <f>B23</f>
        <v>2560</v>
      </c>
      <c r="I8" s="113">
        <f>C23</f>
        <v>2240</v>
      </c>
      <c r="J8" s="113">
        <f>D23</f>
        <v>1920</v>
      </c>
    </row>
    <row r="9" spans="1:10" x14ac:dyDescent="0.35">
      <c r="A9" s="34" t="s">
        <v>78</v>
      </c>
      <c r="B9" s="103">
        <f>('2. Dades econòmiques'!$B$2/'2. Dades econòmiques'!$B$3)*'3. Resultats Escenaris'!B5/'1. Dades instal·lació'!$C$7</f>
        <v>3360</v>
      </c>
      <c r="C9" s="103">
        <f>('2. Dades econòmiques'!$B$2/'2. Dades econòmiques'!$B$3)*'3. Resultats Escenaris'!C5/'1. Dades instal·lació'!$C$7</f>
        <v>2940</v>
      </c>
      <c r="D9" s="103">
        <f>('2. Dades econòmiques'!$B$2/'2. Dades econòmiques'!$B$3)*'3. Resultats Escenaris'!D5/'1. Dades instal·lació'!$C$7</f>
        <v>2520</v>
      </c>
      <c r="G9" s="12" t="s">
        <v>79</v>
      </c>
      <c r="H9" s="113">
        <f>H7+H8</f>
        <v>9535</v>
      </c>
      <c r="I9" s="113">
        <f t="shared" ref="I9:J9" si="3">I7+I8</f>
        <v>10340</v>
      </c>
      <c r="J9" s="113">
        <f t="shared" si="3"/>
        <v>7670</v>
      </c>
    </row>
    <row r="10" spans="1:10" x14ac:dyDescent="0.35">
      <c r="A10" s="12" t="s">
        <v>80</v>
      </c>
      <c r="B10" s="113">
        <f>('2. Dades econòmiques'!$B$10+'2. Dades econòmiques'!$B$13)*'3. Resultats Escenaris'!B5/'1. Dades instal·lació'!$C$7</f>
        <v>915.6</v>
      </c>
      <c r="C10" s="113">
        <f>('2. Dades econòmiques'!$B$10+'2. Dades econòmiques'!$B$13)*'3. Resultats Escenaris'!C5/'1. Dades instal·lació'!$C$7</f>
        <v>801.15</v>
      </c>
      <c r="D10" s="113">
        <f>('2. Dades econòmiques'!$B$10+'2. Dades econòmiques'!$B$13)*'3. Resultats Escenaris'!D5/'1. Dades instal·lació'!$C$7</f>
        <v>686.7</v>
      </c>
      <c r="G10" s="12" t="s">
        <v>81</v>
      </c>
      <c r="H10" s="113">
        <f>B18</f>
        <v>10176.59</v>
      </c>
      <c r="I10" s="113">
        <f>C18</f>
        <v>8681.9599999999991</v>
      </c>
      <c r="J10" s="113">
        <f>D18</f>
        <v>5977.07</v>
      </c>
    </row>
    <row r="11" spans="1:10" x14ac:dyDescent="0.35">
      <c r="A11" s="12" t="s">
        <v>82</v>
      </c>
      <c r="B11" s="113">
        <f>'2. Dades econòmiques'!$B$18*'3. Resultats Escenaris'!B5/'1. Dades instal·lació'!$C$7</f>
        <v>420</v>
      </c>
      <c r="C11" s="113">
        <f>'2. Dades econòmiques'!$B$18*'3. Resultats Escenaris'!C5/'1. Dades instal·lació'!$C$7</f>
        <v>367.5</v>
      </c>
      <c r="D11" s="113">
        <f>'2. Dades econòmiques'!$B$18*'3. Resultats Escenaris'!D5/'1. Dades instal·lació'!$C$7</f>
        <v>315</v>
      </c>
      <c r="G11" s="36" t="s">
        <v>83</v>
      </c>
      <c r="H11" s="106">
        <f>H9-H10</f>
        <v>-641.59000000000015</v>
      </c>
      <c r="I11" s="106">
        <f t="shared" ref="I11:J11" si="4">I9-I10</f>
        <v>1658.0400000000009</v>
      </c>
      <c r="J11" s="106">
        <f t="shared" si="4"/>
        <v>1692.9300000000003</v>
      </c>
    </row>
    <row r="12" spans="1:10" x14ac:dyDescent="0.35">
      <c r="A12" s="12" t="s">
        <v>84</v>
      </c>
      <c r="B12" s="113">
        <f>'2. Dades econòmiques'!$B$27</f>
        <v>0</v>
      </c>
      <c r="C12" s="113">
        <f>'2. Dades econòmiques'!$B$27</f>
        <v>0</v>
      </c>
      <c r="D12" s="113">
        <f>'2. Dades econòmiques'!$B$27</f>
        <v>0</v>
      </c>
      <c r="G12" s="14" t="s">
        <v>85</v>
      </c>
      <c r="H12" s="139">
        <v>50</v>
      </c>
      <c r="I12" s="139">
        <v>50</v>
      </c>
      <c r="J12" s="139">
        <v>50</v>
      </c>
    </row>
    <row r="13" spans="1:10" x14ac:dyDescent="0.35">
      <c r="A13" s="33" t="s">
        <v>65</v>
      </c>
      <c r="B13" s="112">
        <f>'2. Dades econòmiques'!$B40</f>
        <v>0</v>
      </c>
      <c r="C13" s="112">
        <f>'2. Dades econòmiques'!$B40</f>
        <v>0</v>
      </c>
      <c r="D13" s="112">
        <f>'2. Dades econòmiques'!$B40</f>
        <v>0</v>
      </c>
      <c r="G13" s="14" t="s">
        <v>86</v>
      </c>
      <c r="H13" s="28">
        <f>ROUND(H9*100/H10,1)</f>
        <v>93.7</v>
      </c>
      <c r="I13" s="28">
        <f t="shared" ref="I13:J13" si="5">ROUND(I9*100/I10,1)</f>
        <v>119.1</v>
      </c>
      <c r="J13" s="28">
        <f t="shared" si="5"/>
        <v>128.30000000000001</v>
      </c>
    </row>
    <row r="14" spans="1:10" x14ac:dyDescent="0.35">
      <c r="A14" s="65" t="s">
        <v>87</v>
      </c>
      <c r="B14" s="66"/>
      <c r="C14" s="66"/>
      <c r="D14" s="66"/>
      <c r="G14" s="8" t="s">
        <v>88</v>
      </c>
      <c r="H14" s="164">
        <f>B5-H15</f>
        <v>75</v>
      </c>
      <c r="I14" s="164">
        <f t="shared" ref="I14:J14" si="6">C5-I15</f>
        <v>65</v>
      </c>
      <c r="J14" s="164">
        <f t="shared" si="6"/>
        <v>55</v>
      </c>
    </row>
    <row r="15" spans="1:10" x14ac:dyDescent="0.35">
      <c r="A15" s="34" t="s">
        <v>89</v>
      </c>
      <c r="B15" s="103">
        <f>'2. Dades econòmiques'!C34</f>
        <v>5280</v>
      </c>
      <c r="C15" s="103">
        <f>'2. Dades econòmiques'!D34</f>
        <v>4410</v>
      </c>
      <c r="D15" s="103">
        <f>'2. Dades econòmiques'!E34</f>
        <v>2380</v>
      </c>
      <c r="G15" s="9" t="s">
        <v>90</v>
      </c>
      <c r="H15" s="165">
        <f>H2*H3</f>
        <v>5</v>
      </c>
      <c r="I15" s="165">
        <f t="shared" ref="I15:J15" si="7">I2*I3</f>
        <v>5</v>
      </c>
      <c r="J15" s="165">
        <f t="shared" si="7"/>
        <v>5</v>
      </c>
    </row>
    <row r="16" spans="1:10" x14ac:dyDescent="0.35">
      <c r="A16" s="12" t="s">
        <v>91</v>
      </c>
      <c r="B16" s="113">
        <f>ROUND('2. Dades econòmiques'!C37,2)</f>
        <v>200.99</v>
      </c>
      <c r="C16" s="113">
        <f>ROUND('2. Dades econòmiques'!D37,2)</f>
        <v>163.31</v>
      </c>
      <c r="D16" s="113">
        <f>ROUND('2. Dades econòmiques'!E37,2)</f>
        <v>75.37</v>
      </c>
      <c r="G16" s="166" t="s">
        <v>92</v>
      </c>
      <c r="H16" s="167">
        <f>H6*(1+$B$33/100)</f>
        <v>108.89999999999999</v>
      </c>
      <c r="I16" s="167">
        <f t="shared" ref="I16:J16" si="8">I6*(1+$B$33/100)</f>
        <v>145.19999999999999</v>
      </c>
      <c r="J16" s="167">
        <f t="shared" si="8"/>
        <v>121</v>
      </c>
    </row>
    <row r="17" spans="1:10" x14ac:dyDescent="0.35">
      <c r="A17" s="9" t="s">
        <v>66</v>
      </c>
      <c r="B17" s="111">
        <f>'2. Dades econòmiques'!$B41</f>
        <v>0</v>
      </c>
      <c r="C17" s="111">
        <f>'2. Dades econòmiques'!$B41</f>
        <v>0</v>
      </c>
      <c r="D17" s="111">
        <f>'2. Dades econòmiques'!$B41</f>
        <v>0</v>
      </c>
      <c r="G17" s="170" t="s">
        <v>93</v>
      </c>
      <c r="H17" s="171">
        <f>H4*(1+$B$33/100)</f>
        <v>54.449999999999996</v>
      </c>
      <c r="I17" s="171">
        <f t="shared" ref="I17:J17" si="9">I4*(1+$B$33/100)</f>
        <v>72.599999999999994</v>
      </c>
      <c r="J17" s="171">
        <f t="shared" si="9"/>
        <v>60.5</v>
      </c>
    </row>
    <row r="18" spans="1:10" x14ac:dyDescent="0.35">
      <c r="A18" s="13" t="s">
        <v>94</v>
      </c>
      <c r="B18" s="49">
        <f>SUM(B9:B17)</f>
        <v>10176.59</v>
      </c>
      <c r="C18" s="49">
        <f t="shared" ref="C18:D18" si="10">SUM(C9:C17)</f>
        <v>8681.9599999999991</v>
      </c>
      <c r="D18" s="49">
        <f t="shared" si="10"/>
        <v>5977.07</v>
      </c>
    </row>
    <row r="19" spans="1:10" ht="15" thickBot="1" x14ac:dyDescent="0.4">
      <c r="A19" s="107" t="s">
        <v>95</v>
      </c>
      <c r="B19" s="108">
        <f>B18/B5</f>
        <v>127.207375</v>
      </c>
      <c r="C19" s="108">
        <f>C18/C5</f>
        <v>124.02799999999999</v>
      </c>
      <c r="D19" s="108">
        <f>D18/D5</f>
        <v>99.617833333333323</v>
      </c>
      <c r="G19" s="166" t="str">
        <f>CONCATENATE("Quota A per llar (€/llar) IVA inclòs")</f>
        <v>Quota A per llar (€/llar) IVA inclòs</v>
      </c>
      <c r="H19" s="167">
        <f>H16*'1. Dades instal·lació'!C21</f>
        <v>108.89999999999999</v>
      </c>
      <c r="I19" s="167">
        <f>I16*'1. Dades instal·lació'!D21</f>
        <v>145.19999999999999</v>
      </c>
      <c r="J19" s="167">
        <f>J16*'1. Dades instal·lació'!E21</f>
        <v>121</v>
      </c>
    </row>
    <row r="20" spans="1:10" x14ac:dyDescent="0.35">
      <c r="G20" s="168" t="str">
        <f>CONCATENATE("Quota A per activitat (€/activitat) IVA inclòs")</f>
        <v>Quota A per activitat (€/activitat) IVA inclòs</v>
      </c>
      <c r="H20" s="169">
        <f>H16*'1. Dades instal·lació'!C22</f>
        <v>108.89999999999999</v>
      </c>
      <c r="I20" s="169">
        <f>I16*'1. Dades instal·lació'!D22</f>
        <v>580.79999999999995</v>
      </c>
      <c r="J20" s="169">
        <f>J16*'1. Dades instal·lació'!E22</f>
        <v>484</v>
      </c>
    </row>
    <row r="21" spans="1:10" ht="15" thickBot="1" x14ac:dyDescent="0.4">
      <c r="A21" s="15" t="s">
        <v>96</v>
      </c>
      <c r="B21" s="101"/>
      <c r="C21" s="101"/>
      <c r="D21" s="101"/>
      <c r="G21" s="170" t="str">
        <f>CONCATENATE("Quota B per llar vulnerable (€/llar vuln.) IVA inclòs")</f>
        <v>Quota B per llar vulnerable (€/llar vuln.) IVA inclòs</v>
      </c>
      <c r="H21" s="171">
        <f>H17*H3</f>
        <v>27.224999999999998</v>
      </c>
      <c r="I21" s="171">
        <f>I17*I3</f>
        <v>36.299999999999997</v>
      </c>
      <c r="J21" s="171">
        <f>J17*J3</f>
        <v>30.25</v>
      </c>
    </row>
    <row r="22" spans="1:10" x14ac:dyDescent="0.35">
      <c r="A22" s="104" t="s">
        <v>97</v>
      </c>
      <c r="B22" s="105" t="str">
        <f>CONCATENATE("x",B5,"kWp comp/",'1. Dades instal·lació'!$C$7,"Kwp totals")</f>
        <v>x80kWp comp/100Kwp totals</v>
      </c>
      <c r="C22" s="105" t="str">
        <f>CONCATENATE("x",C5,"kWp comp/",'1. Dades instal·lació'!$C$7,"Kwp totals")</f>
        <v>x70kWp comp/100Kwp totals</v>
      </c>
      <c r="D22" s="105" t="str">
        <f>CONCATENATE("x",D5,"kWp comp/",'1. Dades instal·lació'!$C$7,"Kwp totals")</f>
        <v>x60kWp comp/100Kwp totals</v>
      </c>
    </row>
    <row r="23" spans="1:10" x14ac:dyDescent="0.35">
      <c r="A23" s="13" t="s">
        <v>98</v>
      </c>
      <c r="B23" s="49">
        <f>('2. Dades econòmiques'!$B$5/'2. Dades econòmiques'!$B$3)*('3. Resultats Escenaris'!B5/'1. Dades instal·lació'!$C$7)</f>
        <v>2560</v>
      </c>
      <c r="C23" s="49">
        <f>('2. Dades econòmiques'!$B$5/'2. Dades econòmiques'!$B$3)*('3. Resultats Escenaris'!C5/'1. Dades instal·lació'!$C$7)</f>
        <v>2240</v>
      </c>
      <c r="D23" s="49">
        <f>('2. Dades econòmiques'!$B$5/'2. Dades econòmiques'!$B$3)*('3. Resultats Escenaris'!D5/'1. Dades instal·lació'!$C$7)</f>
        <v>1920</v>
      </c>
    </row>
    <row r="24" spans="1:10" x14ac:dyDescent="0.35">
      <c r="A24" s="109" t="s">
        <v>99</v>
      </c>
      <c r="B24" s="110">
        <f>B23/B5</f>
        <v>32</v>
      </c>
      <c r="C24" s="110">
        <f>C23/C5</f>
        <v>32</v>
      </c>
      <c r="D24" s="110">
        <f>D23/D5</f>
        <v>32</v>
      </c>
    </row>
    <row r="25" spans="1:10" x14ac:dyDescent="0.35">
      <c r="A25" s="65" t="s">
        <v>100</v>
      </c>
      <c r="B25" s="68" t="str">
        <f>CONCATENATE(ROUND(B19,2),"€/particip.any x",B6,"participants")</f>
        <v>127,21€/particip.any x80participants</v>
      </c>
      <c r="C25" s="68" t="str">
        <f>CONCATENATE(ROUND(C19,2),"€/particip.any x",C6,"participants")</f>
        <v>124,03€/particip.any x65participants</v>
      </c>
      <c r="D25" s="68" t="str">
        <f>CONCATENATE(ROUND(D19,2),"€/particip.any x",D6,"participants")</f>
        <v>99,62€/particip.any x30participants</v>
      </c>
    </row>
    <row r="26" spans="1:10" x14ac:dyDescent="0.35">
      <c r="A26" s="36" t="s">
        <v>101</v>
      </c>
      <c r="B26" s="106">
        <f>ROUND(B19*B5,2)</f>
        <v>10176.59</v>
      </c>
      <c r="C26" s="106">
        <f>ROUND(C19*C5,2)</f>
        <v>8681.9599999999991</v>
      </c>
      <c r="D26" s="106">
        <f>ROUND(D19*D5,2)</f>
        <v>5977.07</v>
      </c>
    </row>
    <row r="27" spans="1:10" ht="15" thickBot="1" x14ac:dyDescent="0.4">
      <c r="A27" s="15" t="s">
        <v>102</v>
      </c>
      <c r="B27" s="67">
        <f>B23+B26</f>
        <v>12736.59</v>
      </c>
      <c r="C27" s="67">
        <f t="shared" ref="C27:D27" si="11">C23+C26</f>
        <v>10921.96</v>
      </c>
      <c r="D27" s="67">
        <f t="shared" si="11"/>
        <v>7897.07</v>
      </c>
    </row>
    <row r="28" spans="1:10" ht="9" customHeight="1" x14ac:dyDescent="0.35"/>
    <row r="29" spans="1:10" ht="15" thickBot="1" x14ac:dyDescent="0.4">
      <c r="A29" s="15" t="s">
        <v>103</v>
      </c>
      <c r="B29" s="101"/>
      <c r="C29" s="101"/>
      <c r="D29" s="101"/>
    </row>
    <row r="30" spans="1:10" x14ac:dyDescent="0.35">
      <c r="A30" s="16" t="s">
        <v>104</v>
      </c>
      <c r="B30" s="102">
        <f>B19</f>
        <v>127.207375</v>
      </c>
      <c r="C30" s="102">
        <f t="shared" ref="C30:D30" si="12">C19</f>
        <v>124.02799999999999</v>
      </c>
      <c r="D30" s="102">
        <f t="shared" si="12"/>
        <v>99.617833333333323</v>
      </c>
    </row>
    <row r="31" spans="1:10" x14ac:dyDescent="0.35">
      <c r="A31" s="9" t="s">
        <v>105</v>
      </c>
      <c r="B31" s="111">
        <f>B30-B24</f>
        <v>95.207374999999999</v>
      </c>
      <c r="C31" s="111">
        <f t="shared" ref="C31:D31" si="13">C30-C24</f>
        <v>92.027999999999992</v>
      </c>
      <c r="D31" s="111">
        <f t="shared" si="13"/>
        <v>67.617833333333323</v>
      </c>
    </row>
    <row r="32" spans="1:10" ht="9" customHeight="1" x14ac:dyDescent="0.35"/>
    <row r="33" spans="1:2" x14ac:dyDescent="0.35">
      <c r="A33" s="13" t="s">
        <v>106</v>
      </c>
      <c r="B33" s="177">
        <v>21</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E6216-E527-4D43-833D-053822AD2B3C}">
  <dimension ref="C1:F10"/>
  <sheetViews>
    <sheetView showGridLines="0" workbookViewId="0">
      <selection activeCell="D10" sqref="D10"/>
    </sheetView>
  </sheetViews>
  <sheetFormatPr defaultRowHeight="14.5" x14ac:dyDescent="0.35"/>
  <cols>
    <col min="3" max="3" width="45.54296875" customWidth="1"/>
    <col min="4" max="4" width="15.81640625" customWidth="1"/>
  </cols>
  <sheetData>
    <row r="1" spans="3:6" ht="15" thickBot="1" x14ac:dyDescent="0.4"/>
    <row r="2" spans="3:6" ht="15" thickBot="1" x14ac:dyDescent="0.4">
      <c r="C2" s="51"/>
      <c r="D2" s="52" t="s">
        <v>20</v>
      </c>
      <c r="E2" s="53" t="s">
        <v>21</v>
      </c>
      <c r="F2" s="54" t="s">
        <v>22</v>
      </c>
    </row>
    <row r="3" spans="3:6" x14ac:dyDescent="0.35">
      <c r="C3" s="55" t="s">
        <v>23</v>
      </c>
      <c r="D3" s="50">
        <f>'1. Dades instal·lació'!C13</f>
        <v>0.2</v>
      </c>
      <c r="E3" s="50">
        <f>'1. Dades instal·lació'!D13</f>
        <v>0.3</v>
      </c>
      <c r="F3" s="56">
        <f>'1. Dades instal·lació'!E13</f>
        <v>0.4</v>
      </c>
    </row>
    <row r="4" spans="3:6" x14ac:dyDescent="0.35">
      <c r="C4" s="57" t="s">
        <v>24</v>
      </c>
      <c r="D4" s="58">
        <f>'1. Dades instal·lació'!C14</f>
        <v>0.8</v>
      </c>
      <c r="E4" s="58">
        <f>'1. Dades instal·lació'!D14</f>
        <v>0.7</v>
      </c>
      <c r="F4" s="59">
        <f>'1. Dades instal·lació'!E14</f>
        <v>0.6</v>
      </c>
    </row>
    <row r="5" spans="3:6" x14ac:dyDescent="0.35">
      <c r="C5" s="57" t="s">
        <v>25</v>
      </c>
      <c r="D5" s="60">
        <f>'1. Dades instal·lació'!C15</f>
        <v>20</v>
      </c>
      <c r="E5" s="60">
        <f>'1. Dades instal·lació'!D15</f>
        <v>30</v>
      </c>
      <c r="F5" s="61">
        <f>'1. Dades instal·lació'!E15</f>
        <v>40</v>
      </c>
    </row>
    <row r="6" spans="3:6" x14ac:dyDescent="0.35">
      <c r="C6" s="57" t="s">
        <v>26</v>
      </c>
      <c r="D6" s="60">
        <f>'1. Dades instal·lació'!C16</f>
        <v>80</v>
      </c>
      <c r="E6" s="60">
        <f>'1. Dades instal·lació'!D16</f>
        <v>70</v>
      </c>
      <c r="F6" s="61">
        <f>'1. Dades instal·lació'!E16</f>
        <v>60</v>
      </c>
    </row>
    <row r="7" spans="3:6" ht="15" thickBot="1" x14ac:dyDescent="0.4">
      <c r="C7" s="62" t="s">
        <v>27</v>
      </c>
      <c r="D7" s="63">
        <f>'1. Dades instal·lació'!C17</f>
        <v>80</v>
      </c>
      <c r="E7" s="63">
        <f>'1. Dades instal·lació'!D17</f>
        <v>65</v>
      </c>
      <c r="F7" s="64">
        <f>'1. Dades instal·lació'!E17</f>
        <v>30</v>
      </c>
    </row>
    <row r="10" spans="3:6" s="176" customFormat="1" ht="18.5" x14ac:dyDescent="0.45">
      <c r="C10" s="174" t="s">
        <v>107</v>
      </c>
      <c r="D10" s="175" t="s">
        <v>20</v>
      </c>
    </row>
  </sheetData>
  <sheetProtection sheet="1" objects="1" scenarios="1"/>
  <dataValidations count="1">
    <dataValidation type="list" allowBlank="1" showInputMessage="1" showErrorMessage="1" sqref="D10" xr:uid="{013D3D44-4280-47B7-B526-2F9AFE79CA55}">
      <formula1>escenari</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6D642-995A-4D04-AAA3-676AA829F6EB}">
  <dimension ref="A1:G28"/>
  <sheetViews>
    <sheetView showGridLines="0" workbookViewId="0">
      <selection activeCell="I6" sqref="I6"/>
    </sheetView>
  </sheetViews>
  <sheetFormatPr defaultColWidth="9.1796875" defaultRowHeight="12" x14ac:dyDescent="0.3"/>
  <cols>
    <col min="1" max="1" width="49.453125" style="70" customWidth="1"/>
    <col min="2" max="2" width="45.26953125" style="70" customWidth="1"/>
    <col min="3" max="3" width="45" style="70" customWidth="1"/>
    <col min="4" max="4" width="9.1796875" style="71"/>
    <col min="5" max="16384" width="9.1796875" style="70"/>
  </cols>
  <sheetData>
    <row r="1" spans="1:7" customFormat="1" ht="14.5" x14ac:dyDescent="0.35">
      <c r="A1" s="13" t="s">
        <v>107</v>
      </c>
      <c r="B1" s="69" t="str">
        <f>'4. Escull escenari'!D10</f>
        <v>Escenari 1</v>
      </c>
      <c r="C1" s="13" t="s">
        <v>108</v>
      </c>
      <c r="D1" s="48">
        <f>HLOOKUP(B1,'1. Dades instal·lació'!C12:E17,5,FALSE)</f>
        <v>80</v>
      </c>
    </row>
    <row r="2" spans="1:7" ht="12.5" thickBot="1" x14ac:dyDescent="0.35"/>
    <row r="3" spans="1:7" x14ac:dyDescent="0.3">
      <c r="A3" s="72" t="s">
        <v>109</v>
      </c>
      <c r="B3" s="73" t="s">
        <v>110</v>
      </c>
      <c r="C3" s="73" t="s">
        <v>111</v>
      </c>
    </row>
    <row r="4" spans="1:7" ht="57" customHeight="1" x14ac:dyDescent="0.3">
      <c r="A4" s="74" t="s">
        <v>112</v>
      </c>
      <c r="B4" s="221"/>
      <c r="C4" s="75" t="str">
        <f>CONCATENATE("Import amortització anual=",ROUND('2. Dades econòmiques'!B2/'2. Dades econòmiques'!B3,2)," Potència compartida=",'Taula memòria'!D1,"kWp Potèncial total=",'1. Dades instal·lació'!C7,"kWp")</f>
        <v>Import amortització anual=4200 Potència compartida=80kWp Potèncial total=100kWp</v>
      </c>
    </row>
    <row r="5" spans="1:7" x14ac:dyDescent="0.3">
      <c r="A5" s="76"/>
      <c r="B5" s="223"/>
      <c r="C5" s="77">
        <f>HLOOKUP(B1,'3. Resultats Escenaris'!B1:D19,9,FALSE)</f>
        <v>3360</v>
      </c>
    </row>
    <row r="6" spans="1:7" ht="24" x14ac:dyDescent="0.3">
      <c r="A6" s="219" t="s">
        <v>113</v>
      </c>
      <c r="B6" s="221"/>
      <c r="C6" s="78" t="str">
        <f>CONCATENATE("Manteniment anual=",ROUND('2. Dades econòmiques'!B10+'2. Dades econòmiques'!B13,2)," Potència compartida=",'Taula memòria'!D1,"kWp Potèncial total=",'1. Dades instal·lació'!C7,"kWp")</f>
        <v>Manteniment anual=1144,5 Potència compartida=80kWp Potèncial total=100kWp</v>
      </c>
    </row>
    <row r="7" spans="1:7" x14ac:dyDescent="0.3">
      <c r="A7" s="220"/>
      <c r="B7" s="222"/>
      <c r="C7" s="77">
        <f>HLOOKUP('Taula memòria'!B1,'3. Resultats Escenaris'!B1:D19,10,FALSE)</f>
        <v>915.6</v>
      </c>
    </row>
    <row r="8" spans="1:7" ht="24" x14ac:dyDescent="0.3">
      <c r="A8" s="219" t="s">
        <v>114</v>
      </c>
      <c r="B8" s="221"/>
      <c r="C8" s="78" t="str">
        <f>CONCATENATE("Assegurança anual=",ROUND('2. Dades econòmiques'!B18,2)," Potència compartida=",'Taula memòria'!D2,"kWp Potèncial total=",'1. Dades instal·lació'!C7,"kWp")</f>
        <v>Assegurança anual=525 Potència compartida=kWp Potèncial total=100kWp</v>
      </c>
    </row>
    <row r="9" spans="1:7" x14ac:dyDescent="0.3">
      <c r="A9" s="220"/>
      <c r="B9" s="222"/>
      <c r="C9" s="77">
        <f>HLOOKUP('Taula memòria'!B1,'3. Resultats Escenaris'!B1:D19,11,FALSE)</f>
        <v>420</v>
      </c>
      <c r="E9" s="80"/>
      <c r="F9" s="80"/>
      <c r="G9" s="80"/>
    </row>
    <row r="10" spans="1:7" x14ac:dyDescent="0.3">
      <c r="A10" s="219" t="s">
        <v>115</v>
      </c>
      <c r="B10" s="221"/>
      <c r="C10" s="79" t="str">
        <f>CONCATENATE("Comunicació i difusió (€)=",SUM('2. Dades econòmiques'!B21:B24)," Durada (anys)=",'2. Dades econòmiques'!B25)</f>
        <v>Comunicació i difusió (€)=0 Durada (anys)=4</v>
      </c>
    </row>
    <row r="11" spans="1:7" ht="23.25" customHeight="1" x14ac:dyDescent="0.3">
      <c r="A11" s="220"/>
      <c r="B11" s="222"/>
      <c r="C11" s="77">
        <f>'2. Dades econòmiques'!B27</f>
        <v>0</v>
      </c>
      <c r="D11" s="81"/>
      <c r="E11" s="80"/>
    </row>
    <row r="12" spans="1:7" x14ac:dyDescent="0.3">
      <c r="A12" s="82" t="s">
        <v>116</v>
      </c>
      <c r="B12" s="83"/>
      <c r="C12" s="83"/>
    </row>
    <row r="13" spans="1:7" ht="22.5" customHeight="1" x14ac:dyDescent="0.3">
      <c r="A13" s="84" t="s">
        <v>117</v>
      </c>
      <c r="B13" s="85" t="str">
        <f>VLOOKUP(A13,gestiot,2,FALSE)</f>
        <v>Import anual de contracte</v>
      </c>
      <c r="C13" s="77">
        <f>HLOOKUP(B1,'3. Resultats Escenaris'!B1:D16,15,FALSE)</f>
        <v>5280</v>
      </c>
      <c r="D13" s="81"/>
    </row>
    <row r="14" spans="1:7" ht="14" x14ac:dyDescent="0.3">
      <c r="A14" s="86" t="s">
        <v>118</v>
      </c>
      <c r="B14" s="87"/>
      <c r="C14" s="77">
        <f>'3. Resultats Escenaris'!B13</f>
        <v>0</v>
      </c>
    </row>
    <row r="15" spans="1:7" x14ac:dyDescent="0.3">
      <c r="A15" s="88" t="s">
        <v>119</v>
      </c>
      <c r="B15" s="89"/>
      <c r="C15" s="89"/>
    </row>
    <row r="16" spans="1:7" x14ac:dyDescent="0.3">
      <c r="A16" s="82" t="s">
        <v>63</v>
      </c>
      <c r="B16" s="90"/>
      <c r="C16" s="90"/>
    </row>
    <row r="17" spans="1:4" ht="21.75" customHeight="1" x14ac:dyDescent="0.3">
      <c r="A17" s="91" t="s">
        <v>120</v>
      </c>
      <c r="B17" s="92" t="str">
        <f>VLOOKUP(A17,tramitat,2,FALSE)</f>
        <v>Calcular el % que suposa la recaptació del preu públic sobre el total recaptat de tributs i altres ingressos de dret públic i aplicar aquest % al preu  cobrat per l’ORGT</v>
      </c>
      <c r="C17" s="77">
        <f>HLOOKUP(B1,'3. Resultats Escenaris'!B1:D16,16,FALSE)</f>
        <v>200.99</v>
      </c>
    </row>
    <row r="18" spans="1:4" ht="21.75" customHeight="1" x14ac:dyDescent="0.3">
      <c r="A18" s="91" t="s">
        <v>121</v>
      </c>
      <c r="B18" s="92"/>
      <c r="C18" s="77">
        <f>'2. Dades econòmiques'!B41</f>
        <v>0</v>
      </c>
    </row>
    <row r="19" spans="1:4" ht="23" x14ac:dyDescent="0.3">
      <c r="A19" s="88" t="s">
        <v>122</v>
      </c>
      <c r="B19" s="93" t="s">
        <v>123</v>
      </c>
      <c r="C19" s="94">
        <f>C5+C7+C9+C11+C13+C17+C14+C18</f>
        <v>10176.59</v>
      </c>
    </row>
    <row r="21" spans="1:4" ht="14.5" x14ac:dyDescent="0.35">
      <c r="A21" s="8" t="s">
        <v>124</v>
      </c>
      <c r="B21" s="140">
        <f>D1</f>
        <v>80</v>
      </c>
    </row>
    <row r="22" spans="1:4" ht="14.5" x14ac:dyDescent="0.35">
      <c r="A22" s="12" t="s">
        <v>125</v>
      </c>
      <c r="B22" s="32">
        <f>C19/B21</f>
        <v>127.207375</v>
      </c>
    </row>
    <row r="23" spans="1:4" ht="14.5" x14ac:dyDescent="0.35">
      <c r="A23" s="12" t="s">
        <v>126</v>
      </c>
      <c r="B23" s="32">
        <f>HLOOKUP(B1,'3. Resultats Escenaris'!H1:J15,6,FALSE)</f>
        <v>90</v>
      </c>
      <c r="C23" s="114" t="s">
        <v>127</v>
      </c>
    </row>
    <row r="24" spans="1:4" ht="14.5" x14ac:dyDescent="0.35">
      <c r="A24" s="12" t="s">
        <v>128</v>
      </c>
      <c r="B24" s="32">
        <f>C24*B23/100</f>
        <v>18.899999999999999</v>
      </c>
      <c r="C24" s="141">
        <f>'3. Resultats Escenaris'!B33</f>
        <v>21</v>
      </c>
    </row>
    <row r="25" spans="1:4" ht="14.5" x14ac:dyDescent="0.35">
      <c r="A25" s="9" t="s">
        <v>129</v>
      </c>
      <c r="B25" s="39">
        <f>B23+B24</f>
        <v>108.9</v>
      </c>
    </row>
    <row r="26" spans="1:4" ht="8.25" customHeight="1" x14ac:dyDescent="0.35">
      <c r="A26" s="13"/>
      <c r="B26" s="35"/>
    </row>
    <row r="27" spans="1:4" s="116" customFormat="1" ht="13" x14ac:dyDescent="0.3">
      <c r="A27" s="116" t="str">
        <f>CONCATENATE("El total de kWp compartits són ",D1)</f>
        <v>El total de kWp compartits són 80</v>
      </c>
      <c r="D27" s="117"/>
    </row>
    <row r="28" spans="1:4" s="116" customFormat="1" ht="13" x14ac:dyDescent="0.3">
      <c r="A28" s="116" t="str">
        <f>CONCATENATE("El preu públic proposat és de ",ROUND(B23,2),"€/kWp.any. A aquest import se li afegirà l'IVA vigent en cada moment, actualment fixat en el ",C24,"%, resultant un preu públic de ",ROUND(B25,2),"€/kWp.any")</f>
        <v>El preu públic proposat és de 90€/kWp.any. A aquest import se li afegirà l'IVA vigent en cada moment, actualment fixat en el 21%, resultant un preu públic de 108,9€/kWp.any</v>
      </c>
      <c r="D28" s="117"/>
    </row>
  </sheetData>
  <mergeCells count="7">
    <mergeCell ref="A10:A11"/>
    <mergeCell ref="B10:B11"/>
    <mergeCell ref="B4:B5"/>
    <mergeCell ref="A6:A7"/>
    <mergeCell ref="B6:B7"/>
    <mergeCell ref="A8:A9"/>
    <mergeCell ref="B8:B9"/>
  </mergeCells>
  <dataValidations count="3">
    <dataValidation type="list" allowBlank="1" showInputMessage="1" showErrorMessage="1" sqref="A17" xr:uid="{E27ED20C-70E5-4553-916F-F32E3C3ED361}">
      <formula1>tramitt</formula1>
    </dataValidation>
    <dataValidation type="list" allowBlank="1" showInputMessage="1" showErrorMessage="1" sqref="A13" xr:uid="{99428AC9-A5CB-4257-A3FC-97CFC822ABC6}">
      <formula1>gestio</formula1>
    </dataValidation>
    <dataValidation type="list" allowBlank="1" showInputMessage="1" showErrorMessage="1" sqref="B1" xr:uid="{B6D3F0E7-561A-488C-B63F-368BAFE4B46A}">
      <formula1>escenari</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E79CE-940D-4005-BD7D-80D4A6263596}">
  <dimension ref="B1:AO59"/>
  <sheetViews>
    <sheetView showGridLines="0" showWhiteSpace="0" view="pageLayout" zoomScaleNormal="100" workbookViewId="0">
      <selection activeCell="U1" sqref="U1:AC47"/>
    </sheetView>
  </sheetViews>
  <sheetFormatPr defaultRowHeight="14.5" x14ac:dyDescent="0.35"/>
  <cols>
    <col min="1" max="1" width="5" customWidth="1"/>
    <col min="9" max="9" width="4.26953125" customWidth="1"/>
    <col min="10" max="10" width="4.54296875" customWidth="1"/>
    <col min="30" max="30" width="23.54296875" style="152" customWidth="1"/>
    <col min="31" max="31" width="48.81640625" style="152" customWidth="1"/>
    <col min="32" max="32" width="10.26953125" style="152" bestFit="1" customWidth="1"/>
    <col min="41" max="41" width="13.26953125" customWidth="1"/>
  </cols>
  <sheetData>
    <row r="1" spans="2:41" ht="15" customHeight="1" x14ac:dyDescent="0.35">
      <c r="L1" s="217" t="s">
        <v>130</v>
      </c>
      <c r="M1" s="217"/>
      <c r="N1" s="217"/>
      <c r="O1" s="217"/>
      <c r="P1" s="217"/>
      <c r="Q1" s="217"/>
      <c r="R1" s="217"/>
      <c r="S1" s="217"/>
      <c r="T1" s="217"/>
      <c r="U1" s="200" t="s">
        <v>131</v>
      </c>
      <c r="V1" s="200"/>
      <c r="W1" s="200"/>
      <c r="X1" s="200"/>
      <c r="Y1" s="200"/>
      <c r="Z1" s="200"/>
      <c r="AA1" s="200"/>
      <c r="AB1" s="200"/>
      <c r="AC1" s="200"/>
      <c r="AD1" s="218" t="s">
        <v>132</v>
      </c>
      <c r="AE1" s="218"/>
      <c r="AF1" s="218"/>
      <c r="AG1" s="143" t="s">
        <v>133</v>
      </c>
      <c r="AH1" s="151"/>
      <c r="AI1" s="151"/>
      <c r="AJ1" s="142"/>
      <c r="AK1" s="142"/>
      <c r="AL1" s="142"/>
    </row>
    <row r="2" spans="2:41" x14ac:dyDescent="0.35">
      <c r="L2" s="217"/>
      <c r="M2" s="217"/>
      <c r="N2" s="217"/>
      <c r="O2" s="217"/>
      <c r="P2" s="217"/>
      <c r="Q2" s="217"/>
      <c r="R2" s="217"/>
      <c r="S2" s="217"/>
      <c r="T2" s="217"/>
      <c r="U2" s="200"/>
      <c r="V2" s="200"/>
      <c r="W2" s="200"/>
      <c r="X2" s="200"/>
      <c r="Y2" s="200"/>
      <c r="Z2" s="200"/>
      <c r="AA2" s="200"/>
      <c r="AB2" s="200"/>
      <c r="AC2" s="200"/>
      <c r="AD2" s="153"/>
      <c r="AE2" s="153"/>
      <c r="AF2" s="153"/>
      <c r="AG2" s="142"/>
      <c r="AH2" s="142"/>
      <c r="AI2" s="142"/>
      <c r="AJ2" s="142"/>
      <c r="AK2" s="142"/>
      <c r="AL2" s="142"/>
    </row>
    <row r="3" spans="2:41" x14ac:dyDescent="0.35">
      <c r="L3" s="217"/>
      <c r="M3" s="217"/>
      <c r="N3" s="217"/>
      <c r="O3" s="217"/>
      <c r="P3" s="217"/>
      <c r="Q3" s="217"/>
      <c r="R3" s="217"/>
      <c r="S3" s="217"/>
      <c r="T3" s="217"/>
      <c r="U3" s="200"/>
      <c r="V3" s="200"/>
      <c r="W3" s="200"/>
      <c r="X3" s="200"/>
      <c r="Y3" s="200"/>
      <c r="Z3" s="200"/>
      <c r="AA3" s="200"/>
      <c r="AB3" s="200"/>
      <c r="AC3" s="200"/>
      <c r="AD3" s="154"/>
      <c r="AE3" s="155" t="s">
        <v>134</v>
      </c>
      <c r="AF3" s="155" t="s">
        <v>135</v>
      </c>
      <c r="AG3" s="152" t="str">
        <f>'Taula memòria'!A27</f>
        <v>El total de kWp compartits són 80</v>
      </c>
      <c r="AH3" s="142"/>
      <c r="AI3" s="142"/>
      <c r="AJ3" s="142"/>
      <c r="AK3" s="142"/>
      <c r="AL3" s="142"/>
    </row>
    <row r="4" spans="2:41" x14ac:dyDescent="0.35">
      <c r="L4" s="217"/>
      <c r="M4" s="217"/>
      <c r="N4" s="217"/>
      <c r="O4" s="217"/>
      <c r="P4" s="217"/>
      <c r="Q4" s="217"/>
      <c r="R4" s="217"/>
      <c r="S4" s="217"/>
      <c r="T4" s="217"/>
      <c r="U4" s="200"/>
      <c r="V4" s="200"/>
      <c r="W4" s="200"/>
      <c r="X4" s="200"/>
      <c r="Y4" s="200"/>
      <c r="Z4" s="200"/>
      <c r="AA4" s="200"/>
      <c r="AB4" s="200"/>
      <c r="AC4" s="200"/>
      <c r="AD4" s="144" t="s">
        <v>109</v>
      </c>
      <c r="AE4" s="156"/>
      <c r="AF4" s="156"/>
      <c r="AG4" s="153" t="str">
        <f>CONCATENATE("El cost unitari de ",'Taula memòria'!B21,"kWp serà el següent" )</f>
        <v>El cost unitari de 80kWp serà el següent</v>
      </c>
      <c r="AH4" s="142"/>
      <c r="AI4" s="142"/>
      <c r="AJ4" s="142"/>
      <c r="AK4" s="142"/>
      <c r="AL4" s="142"/>
    </row>
    <row r="5" spans="2:41" x14ac:dyDescent="0.35">
      <c r="L5" s="217"/>
      <c r="M5" s="217"/>
      <c r="N5" s="217"/>
      <c r="O5" s="217"/>
      <c r="P5" s="217"/>
      <c r="Q5" s="217"/>
      <c r="R5" s="217"/>
      <c r="S5" s="217"/>
      <c r="T5" s="217"/>
      <c r="U5" s="200"/>
      <c r="V5" s="200"/>
      <c r="W5" s="200"/>
      <c r="X5" s="200"/>
      <c r="Y5" s="200"/>
      <c r="Z5" s="200"/>
      <c r="AA5" s="200"/>
      <c r="AB5" s="200"/>
      <c r="AC5" s="200"/>
      <c r="AD5" s="192" t="s">
        <v>136</v>
      </c>
      <c r="AE5" s="214" t="e" vm="1">
        <v>#VALUE!</v>
      </c>
      <c r="AF5" s="180">
        <f>'Taula memòria'!C5</f>
        <v>3360</v>
      </c>
      <c r="AG5" s="201" t="s">
        <v>137</v>
      </c>
      <c r="AH5" s="202"/>
      <c r="AI5" s="202"/>
      <c r="AJ5" s="203"/>
      <c r="AK5" s="207" t="s">
        <v>138</v>
      </c>
      <c r="AL5" s="208"/>
      <c r="AM5" s="208"/>
      <c r="AN5" s="208"/>
      <c r="AO5" s="209"/>
    </row>
    <row r="6" spans="2:41" x14ac:dyDescent="0.35">
      <c r="L6" s="217"/>
      <c r="M6" s="217"/>
      <c r="N6" s="217"/>
      <c r="O6" s="217"/>
      <c r="P6" s="217"/>
      <c r="Q6" s="217"/>
      <c r="R6" s="217"/>
      <c r="S6" s="217"/>
      <c r="T6" s="217"/>
      <c r="U6" s="200"/>
      <c r="V6" s="200"/>
      <c r="W6" s="200"/>
      <c r="X6" s="200"/>
      <c r="Y6" s="200"/>
      <c r="Z6" s="200"/>
      <c r="AA6" s="200"/>
      <c r="AB6" s="200"/>
      <c r="AC6" s="200"/>
      <c r="AD6" s="193"/>
      <c r="AE6" s="215"/>
      <c r="AF6" s="188"/>
      <c r="AG6" s="204"/>
      <c r="AH6" s="205"/>
      <c r="AI6" s="205"/>
      <c r="AJ6" s="206"/>
      <c r="AK6" s="210"/>
      <c r="AL6" s="211"/>
      <c r="AM6" s="211"/>
      <c r="AN6" s="211"/>
      <c r="AO6" s="212"/>
    </row>
    <row r="7" spans="2:41" x14ac:dyDescent="0.35">
      <c r="L7" s="217"/>
      <c r="M7" s="217"/>
      <c r="N7" s="217"/>
      <c r="O7" s="217"/>
      <c r="P7" s="217"/>
      <c r="Q7" s="217"/>
      <c r="R7" s="217"/>
      <c r="S7" s="217"/>
      <c r="T7" s="217"/>
      <c r="U7" s="200"/>
      <c r="V7" s="200"/>
      <c r="W7" s="200"/>
      <c r="X7" s="200"/>
      <c r="Y7" s="200"/>
      <c r="Z7" s="200"/>
      <c r="AA7" s="200"/>
      <c r="AB7" s="200"/>
      <c r="AC7" s="200"/>
      <c r="AD7" s="194"/>
      <c r="AE7" s="216"/>
      <c r="AF7" s="181"/>
      <c r="AG7" s="142" t="str">
        <f>CONCATENATE("Es preveuen ",HLOOKUP('Taula memòria'!B1,'3. Resultats Escenaris'!B1:D6,6,FALSE)," participants, que entre tots es repartiran ",'Taula memòria'!D1,"kWp.")</f>
        <v>Es preveuen 80 participants, que entre tots es repartiran 80kWp.</v>
      </c>
      <c r="AH7" s="142"/>
      <c r="AI7" s="142"/>
      <c r="AJ7" s="142"/>
      <c r="AK7" s="142"/>
      <c r="AL7" s="142"/>
    </row>
    <row r="8" spans="2:41" ht="15" customHeight="1" x14ac:dyDescent="0.35">
      <c r="L8" s="217"/>
      <c r="M8" s="217"/>
      <c r="N8" s="217"/>
      <c r="O8" s="217"/>
      <c r="P8" s="217"/>
      <c r="Q8" s="217"/>
      <c r="R8" s="217"/>
      <c r="S8" s="217"/>
      <c r="T8" s="217"/>
      <c r="U8" s="200"/>
      <c r="V8" s="200"/>
      <c r="W8" s="200"/>
      <c r="X8" s="200"/>
      <c r="Y8" s="200"/>
      <c r="Z8" s="200"/>
      <c r="AA8" s="200"/>
      <c r="AB8" s="200"/>
      <c r="AC8" s="200"/>
      <c r="AD8" s="192" t="s">
        <v>139</v>
      </c>
      <c r="AE8" s="195" t="e" vm="2">
        <v>#VALUE!</v>
      </c>
      <c r="AF8" s="189">
        <f>'Taula memòria'!C7</f>
        <v>915.6</v>
      </c>
      <c r="AH8" s="150"/>
      <c r="AI8" s="150"/>
      <c r="AJ8" s="150"/>
      <c r="AK8" s="150"/>
      <c r="AL8" s="150"/>
      <c r="AM8" s="150"/>
      <c r="AN8" s="150"/>
      <c r="AO8" s="150"/>
    </row>
    <row r="9" spans="2:41" ht="15" customHeight="1" x14ac:dyDescent="0.35">
      <c r="L9" s="217"/>
      <c r="M9" s="217"/>
      <c r="N9" s="217"/>
      <c r="O9" s="217"/>
      <c r="P9" s="217"/>
      <c r="Q9" s="217"/>
      <c r="R9" s="217"/>
      <c r="S9" s="217"/>
      <c r="T9" s="217"/>
      <c r="U9" s="200"/>
      <c r="V9" s="200"/>
      <c r="W9" s="200"/>
      <c r="X9" s="200"/>
      <c r="Y9" s="200"/>
      <c r="Z9" s="200"/>
      <c r="AA9" s="200"/>
      <c r="AB9" s="200"/>
      <c r="AC9" s="200"/>
      <c r="AD9" s="193"/>
      <c r="AE9" s="196"/>
      <c r="AF9" s="190"/>
      <c r="AG9" s="200" t="str">
        <f>IF('altrenatives vulnerables'!C1&lt;5,'Taula memòria'!A28,'altrenatives vulnerables'!A8)</f>
        <v>S'estableix una quantia A no reduïda de 90€/kWp.any. Per haver-se establert una quota reduïda per raons socials (Quantia B), el preu públic proposat és de 45€/any per KWp, resultat d’aplicar un % de reducció del 50 %. A aquest import se li afegirà l’IVA vigent en cada moment, actualment fixat en el 21%, resultant un preu públic de 108,9€/any per KWp de la quota A i de 54,45€/kWp.any per a la quota B.</v>
      </c>
      <c r="AH9" s="200"/>
      <c r="AI9" s="200"/>
      <c r="AJ9" s="200"/>
      <c r="AK9" s="200"/>
      <c r="AL9" s="200"/>
      <c r="AM9" s="200"/>
      <c r="AN9" s="200"/>
      <c r="AO9" s="200"/>
    </row>
    <row r="10" spans="2:41" x14ac:dyDescent="0.35">
      <c r="L10" s="217"/>
      <c r="M10" s="217"/>
      <c r="N10" s="217"/>
      <c r="O10" s="217"/>
      <c r="P10" s="217"/>
      <c r="Q10" s="217"/>
      <c r="R10" s="217"/>
      <c r="S10" s="217"/>
      <c r="T10" s="217"/>
      <c r="U10" s="200"/>
      <c r="V10" s="200"/>
      <c r="W10" s="200"/>
      <c r="X10" s="200"/>
      <c r="Y10" s="200"/>
      <c r="Z10" s="200"/>
      <c r="AA10" s="200"/>
      <c r="AB10" s="200"/>
      <c r="AC10" s="200"/>
      <c r="AD10" s="193"/>
      <c r="AE10" s="196"/>
      <c r="AF10" s="190"/>
      <c r="AG10" s="200"/>
      <c r="AH10" s="200"/>
      <c r="AI10" s="200"/>
      <c r="AJ10" s="200"/>
      <c r="AK10" s="200"/>
      <c r="AL10" s="200"/>
      <c r="AM10" s="200"/>
      <c r="AN10" s="200"/>
      <c r="AO10" s="200"/>
    </row>
    <row r="11" spans="2:41" x14ac:dyDescent="0.35">
      <c r="L11" s="217"/>
      <c r="M11" s="217"/>
      <c r="N11" s="217"/>
      <c r="O11" s="217"/>
      <c r="P11" s="217"/>
      <c r="Q11" s="217"/>
      <c r="R11" s="217"/>
      <c r="S11" s="217"/>
      <c r="T11" s="217"/>
      <c r="U11" s="200"/>
      <c r="V11" s="200"/>
      <c r="W11" s="200"/>
      <c r="X11" s="200"/>
      <c r="Y11" s="200"/>
      <c r="Z11" s="200"/>
      <c r="AA11" s="200"/>
      <c r="AB11" s="200"/>
      <c r="AC11" s="200"/>
      <c r="AD11" s="194"/>
      <c r="AE11" s="197"/>
      <c r="AF11" s="191"/>
      <c r="AG11" s="200"/>
      <c r="AH11" s="200"/>
      <c r="AI11" s="200"/>
      <c r="AJ11" s="200"/>
      <c r="AK11" s="200"/>
      <c r="AL11" s="200"/>
      <c r="AM11" s="200"/>
      <c r="AN11" s="200"/>
      <c r="AO11" s="200"/>
    </row>
    <row r="12" spans="2:41" ht="15" customHeight="1" x14ac:dyDescent="0.35">
      <c r="L12" s="217"/>
      <c r="M12" s="217"/>
      <c r="N12" s="217"/>
      <c r="O12" s="217"/>
      <c r="P12" s="217"/>
      <c r="Q12" s="217"/>
      <c r="R12" s="217"/>
      <c r="S12" s="217"/>
      <c r="T12" s="217"/>
      <c r="U12" s="200"/>
      <c r="V12" s="200"/>
      <c r="W12" s="200"/>
      <c r="X12" s="200"/>
      <c r="Y12" s="200"/>
      <c r="Z12" s="200"/>
      <c r="AA12" s="200"/>
      <c r="AB12" s="200"/>
      <c r="AC12" s="200"/>
      <c r="AD12" s="192" t="s">
        <v>140</v>
      </c>
      <c r="AE12" s="195" t="e" vm="3">
        <v>#VALUE!</v>
      </c>
      <c r="AF12" s="187">
        <f>'Taula memòria'!C9</f>
        <v>420</v>
      </c>
      <c r="AG12" s="200"/>
      <c r="AH12" s="200"/>
      <c r="AI12" s="200"/>
      <c r="AJ12" s="200"/>
      <c r="AK12" s="200"/>
      <c r="AL12" s="200"/>
      <c r="AM12" s="200"/>
      <c r="AN12" s="200"/>
      <c r="AO12" s="200"/>
    </row>
    <row r="13" spans="2:41" x14ac:dyDescent="0.35">
      <c r="L13" s="217"/>
      <c r="M13" s="217"/>
      <c r="N13" s="217"/>
      <c r="O13" s="217"/>
      <c r="P13" s="217"/>
      <c r="Q13" s="217"/>
      <c r="R13" s="217"/>
      <c r="S13" s="217"/>
      <c r="T13" s="217"/>
      <c r="U13" s="200"/>
      <c r="V13" s="200"/>
      <c r="W13" s="200"/>
      <c r="X13" s="200"/>
      <c r="Y13" s="200"/>
      <c r="Z13" s="200"/>
      <c r="AA13" s="200"/>
      <c r="AB13" s="200"/>
      <c r="AC13" s="200"/>
      <c r="AD13" s="193"/>
      <c r="AE13" s="196"/>
      <c r="AF13" s="198"/>
      <c r="AG13" s="200"/>
      <c r="AH13" s="200"/>
      <c r="AI13" s="200"/>
      <c r="AJ13" s="200"/>
      <c r="AK13" s="200"/>
      <c r="AL13" s="200"/>
      <c r="AM13" s="200"/>
      <c r="AN13" s="200"/>
      <c r="AO13" s="200"/>
    </row>
    <row r="14" spans="2:41" x14ac:dyDescent="0.35">
      <c r="L14" s="217"/>
      <c r="M14" s="217"/>
      <c r="N14" s="217"/>
      <c r="O14" s="217"/>
      <c r="P14" s="217"/>
      <c r="Q14" s="217"/>
      <c r="R14" s="217"/>
      <c r="S14" s="217"/>
      <c r="T14" s="217"/>
      <c r="U14" s="200"/>
      <c r="V14" s="200"/>
      <c r="W14" s="200"/>
      <c r="X14" s="200"/>
      <c r="Y14" s="200"/>
      <c r="Z14" s="200"/>
      <c r="AA14" s="200"/>
      <c r="AB14" s="200"/>
      <c r="AC14" s="200"/>
      <c r="AD14" s="194"/>
      <c r="AE14" s="197"/>
      <c r="AF14" s="199"/>
    </row>
    <row r="15" spans="2:41" ht="15" customHeight="1" x14ac:dyDescent="0.35">
      <c r="L15" s="217"/>
      <c r="M15" s="217"/>
      <c r="N15" s="217"/>
      <c r="O15" s="217"/>
      <c r="P15" s="217"/>
      <c r="Q15" s="217"/>
      <c r="R15" s="217"/>
      <c r="S15" s="217"/>
      <c r="T15" s="217"/>
      <c r="U15" s="200"/>
      <c r="V15" s="200"/>
      <c r="W15" s="200"/>
      <c r="X15" s="200"/>
      <c r="Y15" s="200"/>
      <c r="Z15" s="200"/>
      <c r="AA15" s="200"/>
      <c r="AB15" s="200"/>
      <c r="AC15" s="200"/>
      <c r="AD15" s="192" t="s">
        <v>115</v>
      </c>
      <c r="AE15" s="195"/>
      <c r="AF15" s="187">
        <f>'Taula memòria'!C11</f>
        <v>0</v>
      </c>
      <c r="AG15" s="200" t="str">
        <f>VLOOKUP('altrenatives vulnerables'!C1,'altrenatives vulnerables'!B14:C17,2,FALSE)</f>
        <v>L’establiment d’una quota reduïda suposa que els ingressos estimats són de 6975€ (Ingressos estimats= [(Nombre kWp x Preu públic quota A)+(Nombre kWp x Preu públic quota B reduïda)]. A més cal afegir els ingressos dels ajuts obtinguts per executar la instal·lació que són 2560€/any. De manera que els ingressos totals són 9535€/any</v>
      </c>
      <c r="AH15" s="200"/>
      <c r="AI15" s="200"/>
      <c r="AJ15" s="200"/>
      <c r="AK15" s="200"/>
      <c r="AL15" s="200"/>
      <c r="AM15" s="200"/>
      <c r="AN15" s="200"/>
      <c r="AO15" s="200"/>
    </row>
    <row r="16" spans="2:41" x14ac:dyDescent="0.35">
      <c r="B16" s="213" t="s">
        <v>141</v>
      </c>
      <c r="C16" s="213"/>
      <c r="D16" s="213"/>
      <c r="E16" s="213"/>
      <c r="F16" s="213"/>
      <c r="G16" s="213"/>
      <c r="H16" s="213"/>
      <c r="I16" s="213"/>
      <c r="J16" s="213"/>
      <c r="L16" s="217"/>
      <c r="M16" s="217"/>
      <c r="N16" s="217"/>
      <c r="O16" s="217"/>
      <c r="P16" s="217"/>
      <c r="Q16" s="217"/>
      <c r="R16" s="217"/>
      <c r="S16" s="217"/>
      <c r="T16" s="217"/>
      <c r="U16" s="200"/>
      <c r="V16" s="200"/>
      <c r="W16" s="200"/>
      <c r="X16" s="200"/>
      <c r="Y16" s="200"/>
      <c r="Z16" s="200"/>
      <c r="AA16" s="200"/>
      <c r="AB16" s="200"/>
      <c r="AC16" s="200"/>
      <c r="AD16" s="193"/>
      <c r="AE16" s="196"/>
      <c r="AF16" s="198"/>
      <c r="AG16" s="200"/>
      <c r="AH16" s="200"/>
      <c r="AI16" s="200"/>
      <c r="AJ16" s="200"/>
      <c r="AK16" s="200"/>
      <c r="AL16" s="200"/>
      <c r="AM16" s="200"/>
      <c r="AN16" s="200"/>
      <c r="AO16" s="200"/>
    </row>
    <row r="17" spans="2:41" ht="26.25" customHeight="1" x14ac:dyDescent="0.35">
      <c r="B17" s="213"/>
      <c r="C17" s="213"/>
      <c r="D17" s="213"/>
      <c r="E17" s="213"/>
      <c r="F17" s="213"/>
      <c r="G17" s="213"/>
      <c r="H17" s="213"/>
      <c r="I17" s="213"/>
      <c r="J17" s="213"/>
      <c r="L17" s="217"/>
      <c r="M17" s="217"/>
      <c r="N17" s="217"/>
      <c r="O17" s="217"/>
      <c r="P17" s="217"/>
      <c r="Q17" s="217"/>
      <c r="R17" s="217"/>
      <c r="S17" s="217"/>
      <c r="T17" s="217"/>
      <c r="U17" s="200"/>
      <c r="V17" s="200"/>
      <c r="W17" s="200"/>
      <c r="X17" s="200"/>
      <c r="Y17" s="200"/>
      <c r="Z17" s="200"/>
      <c r="AA17" s="200"/>
      <c r="AB17" s="200"/>
      <c r="AC17" s="200"/>
      <c r="AD17" s="194"/>
      <c r="AE17" s="197"/>
      <c r="AF17" s="199"/>
      <c r="AG17" s="200"/>
      <c r="AH17" s="200"/>
      <c r="AI17" s="200"/>
      <c r="AJ17" s="200"/>
      <c r="AK17" s="200"/>
      <c r="AL17" s="200"/>
      <c r="AM17" s="200"/>
      <c r="AN17" s="200"/>
      <c r="AO17" s="200"/>
    </row>
    <row r="18" spans="2:41" x14ac:dyDescent="0.35">
      <c r="B18" s="213"/>
      <c r="C18" s="213"/>
      <c r="D18" s="213"/>
      <c r="E18" s="213"/>
      <c r="F18" s="213"/>
      <c r="G18" s="213"/>
      <c r="H18" s="213"/>
      <c r="I18" s="213"/>
      <c r="J18" s="213"/>
      <c r="L18" s="217"/>
      <c r="M18" s="217"/>
      <c r="N18" s="217"/>
      <c r="O18" s="217"/>
      <c r="P18" s="217"/>
      <c r="Q18" s="217"/>
      <c r="R18" s="217"/>
      <c r="S18" s="217"/>
      <c r="T18" s="217"/>
      <c r="U18" s="200"/>
      <c r="V18" s="200"/>
      <c r="W18" s="200"/>
      <c r="X18" s="200"/>
      <c r="Y18" s="200"/>
      <c r="Z18" s="200"/>
      <c r="AA18" s="200"/>
      <c r="AB18" s="200"/>
      <c r="AC18" s="200"/>
      <c r="AD18" s="178" t="s">
        <v>142</v>
      </c>
      <c r="AE18" s="184"/>
      <c r="AF18" s="184"/>
      <c r="AG18" s="200"/>
      <c r="AH18" s="200"/>
      <c r="AI18" s="200"/>
      <c r="AJ18" s="200"/>
      <c r="AK18" s="200"/>
      <c r="AL18" s="200"/>
      <c r="AM18" s="200"/>
      <c r="AN18" s="200"/>
      <c r="AO18" s="200"/>
    </row>
    <row r="19" spans="2:41" x14ac:dyDescent="0.35">
      <c r="B19" s="213"/>
      <c r="C19" s="213"/>
      <c r="D19" s="213"/>
      <c r="E19" s="213"/>
      <c r="F19" s="213"/>
      <c r="G19" s="213"/>
      <c r="H19" s="213"/>
      <c r="I19" s="213"/>
      <c r="J19" s="213"/>
      <c r="L19" s="217"/>
      <c r="M19" s="217"/>
      <c r="N19" s="217"/>
      <c r="O19" s="217"/>
      <c r="P19" s="217"/>
      <c r="Q19" s="217"/>
      <c r="R19" s="217"/>
      <c r="S19" s="217"/>
      <c r="T19" s="217"/>
      <c r="U19" s="200"/>
      <c r="V19" s="200"/>
      <c r="W19" s="200"/>
      <c r="X19" s="200"/>
      <c r="Y19" s="200"/>
      <c r="Z19" s="200"/>
      <c r="AA19" s="200"/>
      <c r="AB19" s="200"/>
      <c r="AC19" s="200"/>
      <c r="AD19" s="185" t="s">
        <v>117</v>
      </c>
      <c r="AE19" s="186" t="str">
        <f>VLOOKUP(AD19,gestiot,2,FALSE)</f>
        <v>Import anual de contracte</v>
      </c>
      <c r="AF19" s="187">
        <f>'Taula memòria'!C13</f>
        <v>5280</v>
      </c>
      <c r="AG19" s="142"/>
      <c r="AH19" s="142"/>
      <c r="AI19" s="142"/>
      <c r="AJ19" s="142"/>
      <c r="AK19" s="142"/>
      <c r="AL19" s="142"/>
    </row>
    <row r="20" spans="2:41" x14ac:dyDescent="0.35">
      <c r="B20" s="213"/>
      <c r="C20" s="213"/>
      <c r="D20" s="213"/>
      <c r="E20" s="213"/>
      <c r="F20" s="213"/>
      <c r="G20" s="213"/>
      <c r="H20" s="213"/>
      <c r="I20" s="213"/>
      <c r="J20" s="213"/>
      <c r="L20" s="217"/>
      <c r="M20" s="217"/>
      <c r="N20" s="217"/>
      <c r="O20" s="217"/>
      <c r="P20" s="217"/>
      <c r="Q20" s="217"/>
      <c r="R20" s="217"/>
      <c r="S20" s="217"/>
      <c r="T20" s="217"/>
      <c r="U20" s="200"/>
      <c r="V20" s="200"/>
      <c r="W20" s="200"/>
      <c r="X20" s="200"/>
      <c r="Y20" s="200"/>
      <c r="Z20" s="200"/>
      <c r="AA20" s="200"/>
      <c r="AB20" s="200"/>
      <c r="AC20" s="200"/>
      <c r="AD20" s="185"/>
      <c r="AE20" s="186"/>
      <c r="AF20" s="198"/>
      <c r="AG20" s="173" t="s">
        <v>143</v>
      </c>
      <c r="AH20" s="142"/>
      <c r="AI20" s="142"/>
      <c r="AJ20" s="142"/>
      <c r="AK20" s="142"/>
      <c r="AL20" s="142"/>
    </row>
    <row r="21" spans="2:41" x14ac:dyDescent="0.35">
      <c r="B21" s="213"/>
      <c r="C21" s="213"/>
      <c r="D21" s="213"/>
      <c r="E21" s="213"/>
      <c r="F21" s="213"/>
      <c r="G21" s="213"/>
      <c r="H21" s="213"/>
      <c r="I21" s="213"/>
      <c r="J21" s="213"/>
      <c r="L21" s="217"/>
      <c r="M21" s="217"/>
      <c r="N21" s="217"/>
      <c r="O21" s="217"/>
      <c r="P21" s="217"/>
      <c r="Q21" s="217"/>
      <c r="R21" s="217"/>
      <c r="S21" s="217"/>
      <c r="T21" s="217"/>
      <c r="U21" s="200"/>
      <c r="V21" s="200"/>
      <c r="W21" s="200"/>
      <c r="X21" s="200"/>
      <c r="Y21" s="200"/>
      <c r="Z21" s="200"/>
      <c r="AA21" s="200"/>
      <c r="AB21" s="200"/>
      <c r="AC21" s="200"/>
      <c r="AD21" s="185"/>
      <c r="AE21" s="186"/>
      <c r="AF21" s="199"/>
      <c r="AG21" s="200" t="str">
        <f>CONCATENATE("De la comparació dels ingressos estimats i els costos previstos s’obté un nivell de cobertura previst del ",HLOOKUP('Taula memòria'!B1,'3. Resultats Escenaris'!H1:J13,13,FALSE),"%")</f>
        <v>De la comparació dels ingressos estimats i els costos previstos s’obté un nivell de cobertura previst del 93,7%</v>
      </c>
      <c r="AH21" s="200"/>
      <c r="AI21" s="200"/>
      <c r="AJ21" s="200"/>
      <c r="AK21" s="200"/>
      <c r="AL21" s="200"/>
      <c r="AM21" s="200"/>
      <c r="AN21" s="200"/>
      <c r="AO21" s="200"/>
    </row>
    <row r="22" spans="2:41" x14ac:dyDescent="0.35">
      <c r="B22" s="213"/>
      <c r="C22" s="213"/>
      <c r="D22" s="213"/>
      <c r="E22" s="213"/>
      <c r="F22" s="213"/>
      <c r="G22" s="213"/>
      <c r="H22" s="213"/>
      <c r="I22" s="213"/>
      <c r="J22" s="213"/>
      <c r="L22" s="217"/>
      <c r="M22" s="217"/>
      <c r="N22" s="217"/>
      <c r="O22" s="217"/>
      <c r="P22" s="217"/>
      <c r="Q22" s="217"/>
      <c r="R22" s="217"/>
      <c r="S22" s="217"/>
      <c r="T22" s="217"/>
      <c r="U22" s="200"/>
      <c r="V22" s="200"/>
      <c r="W22" s="200"/>
      <c r="X22" s="200"/>
      <c r="Y22" s="200"/>
      <c r="Z22" s="200"/>
      <c r="AA22" s="200"/>
      <c r="AB22" s="200"/>
      <c r="AC22" s="200"/>
      <c r="AD22" s="178" t="s">
        <v>144</v>
      </c>
      <c r="AE22" s="179"/>
      <c r="AF22" s="172">
        <f>'2. Dades econòmiques'!B40</f>
        <v>0</v>
      </c>
      <c r="AG22" s="200"/>
      <c r="AH22" s="200"/>
      <c r="AI22" s="200"/>
      <c r="AJ22" s="200"/>
      <c r="AK22" s="200"/>
      <c r="AL22" s="200"/>
      <c r="AM22" s="200"/>
      <c r="AN22" s="200"/>
      <c r="AO22" s="200"/>
    </row>
    <row r="23" spans="2:41" x14ac:dyDescent="0.35">
      <c r="B23" s="213"/>
      <c r="C23" s="213"/>
      <c r="D23" s="213"/>
      <c r="E23" s="213"/>
      <c r="F23" s="213"/>
      <c r="G23" s="213"/>
      <c r="H23" s="213"/>
      <c r="I23" s="213"/>
      <c r="J23" s="213"/>
      <c r="L23" s="217"/>
      <c r="M23" s="217"/>
      <c r="N23" s="217"/>
      <c r="O23" s="217"/>
      <c r="P23" s="217"/>
      <c r="Q23" s="217"/>
      <c r="R23" s="217"/>
      <c r="S23" s="217"/>
      <c r="T23" s="217"/>
      <c r="U23" s="200"/>
      <c r="V23" s="200"/>
      <c r="W23" s="200"/>
      <c r="X23" s="200"/>
      <c r="Y23" s="200"/>
      <c r="Z23" s="200"/>
      <c r="AA23" s="200"/>
      <c r="AB23" s="200"/>
      <c r="AC23" s="200"/>
      <c r="AD23" s="144" t="s">
        <v>119</v>
      </c>
      <c r="AE23" s="156"/>
      <c r="AF23" s="156"/>
      <c r="AG23" s="200"/>
      <c r="AH23" s="200"/>
      <c r="AI23" s="200"/>
      <c r="AJ23" s="200"/>
      <c r="AK23" s="200"/>
      <c r="AL23" s="200"/>
      <c r="AM23" s="200"/>
      <c r="AN23" s="200"/>
      <c r="AO23" s="200"/>
    </row>
    <row r="24" spans="2:41" x14ac:dyDescent="0.35">
      <c r="B24" s="213"/>
      <c r="C24" s="213"/>
      <c r="D24" s="213"/>
      <c r="E24" s="213"/>
      <c r="F24" s="213"/>
      <c r="G24" s="213"/>
      <c r="H24" s="213"/>
      <c r="I24" s="213"/>
      <c r="J24" s="213"/>
      <c r="L24" s="217"/>
      <c r="M24" s="217"/>
      <c r="N24" s="217"/>
      <c r="O24" s="217"/>
      <c r="P24" s="217"/>
      <c r="Q24" s="217"/>
      <c r="R24" s="217"/>
      <c r="S24" s="217"/>
      <c r="T24" s="217"/>
      <c r="U24" s="200"/>
      <c r="V24" s="200"/>
      <c r="W24" s="200"/>
      <c r="X24" s="200"/>
      <c r="Y24" s="200"/>
      <c r="Z24" s="200"/>
      <c r="AA24" s="200"/>
      <c r="AB24" s="200"/>
      <c r="AC24" s="200"/>
      <c r="AD24" s="178" t="s">
        <v>145</v>
      </c>
      <c r="AE24" s="184"/>
      <c r="AF24" s="184"/>
      <c r="AG24" s="142"/>
      <c r="AH24" s="142"/>
      <c r="AI24" s="142"/>
      <c r="AJ24" s="142"/>
      <c r="AK24" s="142"/>
      <c r="AL24" s="142"/>
    </row>
    <row r="25" spans="2:41" x14ac:dyDescent="0.35">
      <c r="B25" s="213"/>
      <c r="C25" s="213"/>
      <c r="D25" s="213"/>
      <c r="E25" s="213"/>
      <c r="F25" s="213"/>
      <c r="G25" s="213"/>
      <c r="H25" s="213"/>
      <c r="I25" s="213"/>
      <c r="J25" s="213"/>
      <c r="L25" s="217"/>
      <c r="M25" s="217"/>
      <c r="N25" s="217"/>
      <c r="O25" s="217"/>
      <c r="P25" s="217"/>
      <c r="Q25" s="217"/>
      <c r="R25" s="217"/>
      <c r="S25" s="217"/>
      <c r="T25" s="217"/>
      <c r="U25" s="200"/>
      <c r="V25" s="200"/>
      <c r="W25" s="200"/>
      <c r="X25" s="200"/>
      <c r="Y25" s="200"/>
      <c r="Z25" s="200"/>
      <c r="AA25" s="200"/>
      <c r="AB25" s="200"/>
      <c r="AC25" s="200"/>
      <c r="AD25" s="185" t="s">
        <v>120</v>
      </c>
      <c r="AE25" s="186" t="str">
        <f>VLOOKUP(AD25,tramitat,2,FALSE)</f>
        <v>Calcular el % que suposa la recaptació del preu públic sobre el total recaptat de tributs i altres ingressos de dret públic i aplicar aquest % al preu  cobrat per l’ORGT</v>
      </c>
      <c r="AF25" s="187">
        <f>'Taula memòria'!C17</f>
        <v>200.99</v>
      </c>
      <c r="AG25" s="218" t="s">
        <v>146</v>
      </c>
      <c r="AH25" s="218"/>
      <c r="AI25" s="218"/>
      <c r="AJ25" s="218"/>
      <c r="AK25" s="218"/>
      <c r="AL25" s="218"/>
      <c r="AM25" s="218"/>
      <c r="AN25" s="218"/>
      <c r="AO25" s="218"/>
    </row>
    <row r="26" spans="2:41" x14ac:dyDescent="0.35">
      <c r="B26" s="213"/>
      <c r="C26" s="213"/>
      <c r="D26" s="213"/>
      <c r="E26" s="213"/>
      <c r="F26" s="213"/>
      <c r="G26" s="213"/>
      <c r="H26" s="213"/>
      <c r="I26" s="213"/>
      <c r="J26" s="213"/>
      <c r="L26" s="217"/>
      <c r="M26" s="217"/>
      <c r="N26" s="217"/>
      <c r="O26" s="217"/>
      <c r="P26" s="217"/>
      <c r="Q26" s="217"/>
      <c r="R26" s="217"/>
      <c r="S26" s="217"/>
      <c r="T26" s="217"/>
      <c r="U26" s="200"/>
      <c r="V26" s="200"/>
      <c r="W26" s="200"/>
      <c r="X26" s="200"/>
      <c r="Y26" s="200"/>
      <c r="Z26" s="200"/>
      <c r="AA26" s="200"/>
      <c r="AB26" s="200"/>
      <c r="AC26" s="200"/>
      <c r="AD26" s="185"/>
      <c r="AE26" s="186" t="e">
        <f>VLOOKUP(AD26,tramitat,2,FALSE)</f>
        <v>#N/A</v>
      </c>
      <c r="AF26" s="188"/>
      <c r="AG26" s="200" t="s">
        <v>147</v>
      </c>
      <c r="AH26" s="200"/>
      <c r="AI26" s="200"/>
      <c r="AJ26" s="200"/>
      <c r="AK26" s="200"/>
      <c r="AL26" s="200"/>
      <c r="AM26" s="200"/>
      <c r="AN26" s="200"/>
      <c r="AO26" s="200"/>
    </row>
    <row r="27" spans="2:41" x14ac:dyDescent="0.35">
      <c r="B27" s="213"/>
      <c r="C27" s="213"/>
      <c r="D27" s="213"/>
      <c r="E27" s="213"/>
      <c r="F27" s="213"/>
      <c r="G27" s="213"/>
      <c r="H27" s="213"/>
      <c r="I27" s="213"/>
      <c r="J27" s="213"/>
      <c r="L27" s="217"/>
      <c r="M27" s="217"/>
      <c r="N27" s="217"/>
      <c r="O27" s="217"/>
      <c r="P27" s="217"/>
      <c r="Q27" s="217"/>
      <c r="R27" s="217"/>
      <c r="S27" s="217"/>
      <c r="T27" s="217"/>
      <c r="U27" s="200"/>
      <c r="V27" s="200"/>
      <c r="W27" s="200"/>
      <c r="X27" s="200"/>
      <c r="Y27" s="200"/>
      <c r="Z27" s="200"/>
      <c r="AA27" s="200"/>
      <c r="AB27" s="200"/>
      <c r="AC27" s="200"/>
      <c r="AD27" s="185"/>
      <c r="AE27" s="186" t="e">
        <f>VLOOKUP(AD27,tramitat,2,FALSE)</f>
        <v>#N/A</v>
      </c>
      <c r="AF27" s="181"/>
      <c r="AG27" s="200"/>
      <c r="AH27" s="200"/>
      <c r="AI27" s="200"/>
      <c r="AJ27" s="200"/>
      <c r="AK27" s="200"/>
      <c r="AL27" s="200"/>
      <c r="AM27" s="200"/>
      <c r="AN27" s="200"/>
      <c r="AO27" s="200"/>
    </row>
    <row r="28" spans="2:41" x14ac:dyDescent="0.35">
      <c r="B28" s="213"/>
      <c r="C28" s="213"/>
      <c r="D28" s="213"/>
      <c r="E28" s="213"/>
      <c r="F28" s="213"/>
      <c r="G28" s="213"/>
      <c r="H28" s="213"/>
      <c r="I28" s="213"/>
      <c r="J28" s="213"/>
      <c r="L28" s="217"/>
      <c r="M28" s="217"/>
      <c r="N28" s="217"/>
      <c r="O28" s="217"/>
      <c r="P28" s="217"/>
      <c r="Q28" s="217"/>
      <c r="R28" s="217"/>
      <c r="S28" s="217"/>
      <c r="T28" s="217"/>
      <c r="U28" s="200"/>
      <c r="V28" s="200"/>
      <c r="W28" s="200"/>
      <c r="X28" s="200"/>
      <c r="Y28" s="200"/>
      <c r="Z28" s="200"/>
      <c r="AA28" s="200"/>
      <c r="AB28" s="200"/>
      <c r="AC28" s="200"/>
      <c r="AD28" s="178" t="s">
        <v>144</v>
      </c>
      <c r="AE28" s="179"/>
      <c r="AF28" s="157">
        <f>'Taula memòria'!C18</f>
        <v>0</v>
      </c>
      <c r="AG28" s="200"/>
      <c r="AH28" s="200"/>
      <c r="AI28" s="200"/>
      <c r="AJ28" s="200"/>
      <c r="AK28" s="200"/>
      <c r="AL28" s="200"/>
      <c r="AM28" s="200"/>
      <c r="AN28" s="200"/>
      <c r="AO28" s="200"/>
    </row>
    <row r="29" spans="2:41" x14ac:dyDescent="0.35">
      <c r="B29" s="213"/>
      <c r="C29" s="213"/>
      <c r="D29" s="213"/>
      <c r="E29" s="213"/>
      <c r="F29" s="213"/>
      <c r="G29" s="213"/>
      <c r="H29" s="213"/>
      <c r="I29" s="213"/>
      <c r="J29" s="213"/>
      <c r="L29" s="217"/>
      <c r="M29" s="217"/>
      <c r="N29" s="217"/>
      <c r="O29" s="217"/>
      <c r="P29" s="217"/>
      <c r="Q29" s="217"/>
      <c r="R29" s="217"/>
      <c r="S29" s="217"/>
      <c r="T29" s="217"/>
      <c r="U29" s="200"/>
      <c r="V29" s="200"/>
      <c r="W29" s="200"/>
      <c r="X29" s="200"/>
      <c r="Y29" s="200"/>
      <c r="Z29" s="200"/>
      <c r="AA29" s="200"/>
      <c r="AB29" s="200"/>
      <c r="AC29" s="200"/>
      <c r="AD29" s="158" t="s">
        <v>148</v>
      </c>
      <c r="AE29" s="159"/>
      <c r="AF29" s="180">
        <f>'Taula memòria'!C19</f>
        <v>10176.59</v>
      </c>
      <c r="AG29" s="200"/>
      <c r="AH29" s="200"/>
      <c r="AI29" s="200"/>
      <c r="AJ29" s="200"/>
      <c r="AK29" s="200"/>
      <c r="AL29" s="200"/>
      <c r="AM29" s="200"/>
      <c r="AN29" s="200"/>
      <c r="AO29" s="200"/>
    </row>
    <row r="30" spans="2:41" x14ac:dyDescent="0.35">
      <c r="L30" s="217"/>
      <c r="M30" s="217"/>
      <c r="N30" s="217"/>
      <c r="O30" s="217"/>
      <c r="P30" s="217"/>
      <c r="Q30" s="217"/>
      <c r="R30" s="217"/>
      <c r="S30" s="217"/>
      <c r="T30" s="217"/>
      <c r="U30" s="200"/>
      <c r="V30" s="200"/>
      <c r="W30" s="200"/>
      <c r="X30" s="200"/>
      <c r="Y30" s="200"/>
      <c r="Z30" s="200"/>
      <c r="AA30" s="200"/>
      <c r="AB30" s="200"/>
      <c r="AC30" s="200"/>
      <c r="AD30" s="160" t="s">
        <v>149</v>
      </c>
      <c r="AE30" s="161"/>
      <c r="AF30" s="181"/>
      <c r="AG30" s="200"/>
      <c r="AH30" s="200"/>
      <c r="AI30" s="200"/>
      <c r="AJ30" s="200"/>
      <c r="AK30" s="200"/>
      <c r="AL30" s="200"/>
      <c r="AM30" s="200"/>
      <c r="AN30" s="200"/>
      <c r="AO30" s="200"/>
    </row>
    <row r="31" spans="2:41" x14ac:dyDescent="0.35">
      <c r="L31" s="217"/>
      <c r="M31" s="217"/>
      <c r="N31" s="217"/>
      <c r="O31" s="217"/>
      <c r="P31" s="217"/>
      <c r="Q31" s="217"/>
      <c r="R31" s="217"/>
      <c r="S31" s="217"/>
      <c r="T31" s="217"/>
      <c r="U31" s="200"/>
      <c r="V31" s="200"/>
      <c r="W31" s="200"/>
      <c r="X31" s="200"/>
      <c r="Y31" s="200"/>
      <c r="Z31" s="200"/>
      <c r="AA31" s="200"/>
      <c r="AB31" s="200"/>
      <c r="AC31" s="200"/>
      <c r="AD31" s="182" t="s">
        <v>150</v>
      </c>
      <c r="AE31" s="182"/>
      <c r="AF31" s="182"/>
      <c r="AG31" s="200"/>
      <c r="AH31" s="200"/>
      <c r="AI31" s="200"/>
      <c r="AJ31" s="200"/>
      <c r="AK31" s="200"/>
      <c r="AL31" s="200"/>
      <c r="AM31" s="200"/>
      <c r="AN31" s="200"/>
      <c r="AO31" s="200"/>
    </row>
    <row r="32" spans="2:41" x14ac:dyDescent="0.35">
      <c r="L32" s="217"/>
      <c r="M32" s="217"/>
      <c r="N32" s="217"/>
      <c r="O32" s="217"/>
      <c r="P32" s="217"/>
      <c r="Q32" s="217"/>
      <c r="R32" s="217"/>
      <c r="S32" s="217"/>
      <c r="T32" s="217"/>
      <c r="U32" s="200"/>
      <c r="V32" s="200"/>
      <c r="W32" s="200"/>
      <c r="X32" s="200"/>
      <c r="Y32" s="200"/>
      <c r="Z32" s="200"/>
      <c r="AA32" s="200"/>
      <c r="AB32" s="200"/>
      <c r="AC32" s="200"/>
      <c r="AD32" s="183"/>
      <c r="AE32" s="183"/>
      <c r="AF32" s="183"/>
      <c r="AG32" s="200"/>
      <c r="AH32" s="200"/>
      <c r="AI32" s="200"/>
      <c r="AJ32" s="200"/>
      <c r="AK32" s="200"/>
      <c r="AL32" s="200"/>
      <c r="AM32" s="200"/>
      <c r="AN32" s="200"/>
      <c r="AO32" s="200"/>
    </row>
    <row r="33" spans="12:41" x14ac:dyDescent="0.35">
      <c r="L33" s="217"/>
      <c r="M33" s="217"/>
      <c r="N33" s="217"/>
      <c r="O33" s="217"/>
      <c r="P33" s="217"/>
      <c r="Q33" s="217"/>
      <c r="R33" s="217"/>
      <c r="S33" s="217"/>
      <c r="T33" s="217"/>
      <c r="U33" s="200"/>
      <c r="V33" s="200"/>
      <c r="W33" s="200"/>
      <c r="X33" s="200"/>
      <c r="Y33" s="200"/>
      <c r="Z33" s="200"/>
      <c r="AA33" s="200"/>
      <c r="AB33" s="200"/>
      <c r="AC33" s="200"/>
      <c r="AD33" s="183"/>
      <c r="AE33" s="183"/>
      <c r="AF33" s="183"/>
      <c r="AG33" s="200"/>
      <c r="AH33" s="200"/>
      <c r="AI33" s="200"/>
      <c r="AJ33" s="200"/>
      <c r="AK33" s="200"/>
      <c r="AL33" s="200"/>
      <c r="AM33" s="200"/>
      <c r="AN33" s="200"/>
      <c r="AO33" s="200"/>
    </row>
    <row r="34" spans="12:41" x14ac:dyDescent="0.35">
      <c r="L34" s="217"/>
      <c r="M34" s="217"/>
      <c r="N34" s="217"/>
      <c r="O34" s="217"/>
      <c r="P34" s="217"/>
      <c r="Q34" s="217"/>
      <c r="R34" s="217"/>
      <c r="S34" s="217"/>
      <c r="T34" s="217"/>
      <c r="U34" s="200"/>
      <c r="V34" s="200"/>
      <c r="W34" s="200"/>
      <c r="X34" s="200"/>
      <c r="Y34" s="200"/>
      <c r="Z34" s="200"/>
      <c r="AA34" s="200"/>
      <c r="AB34" s="200"/>
      <c r="AC34" s="200"/>
      <c r="AD34" s="183"/>
      <c r="AE34" s="183"/>
      <c r="AF34" s="183"/>
      <c r="AG34" s="200"/>
      <c r="AH34" s="200"/>
      <c r="AI34" s="200"/>
      <c r="AJ34" s="200"/>
      <c r="AK34" s="200"/>
      <c r="AL34" s="200"/>
      <c r="AM34" s="200"/>
      <c r="AN34" s="200"/>
      <c r="AO34" s="200"/>
    </row>
    <row r="35" spans="12:41" x14ac:dyDescent="0.35">
      <c r="L35" s="217"/>
      <c r="M35" s="217"/>
      <c r="N35" s="217"/>
      <c r="O35" s="217"/>
      <c r="P35" s="217"/>
      <c r="Q35" s="217"/>
      <c r="R35" s="217"/>
      <c r="S35" s="217"/>
      <c r="T35" s="217"/>
      <c r="U35" s="200"/>
      <c r="V35" s="200"/>
      <c r="W35" s="200"/>
      <c r="X35" s="200"/>
      <c r="Y35" s="200"/>
      <c r="Z35" s="200"/>
      <c r="AA35" s="200"/>
      <c r="AB35" s="200"/>
      <c r="AC35" s="200"/>
      <c r="AD35" s="153"/>
      <c r="AE35" s="153"/>
      <c r="AF35" s="153"/>
      <c r="AG35" s="200"/>
      <c r="AH35" s="200"/>
      <c r="AI35" s="200"/>
      <c r="AJ35" s="200"/>
      <c r="AK35" s="200"/>
      <c r="AL35" s="200"/>
      <c r="AM35" s="200"/>
      <c r="AN35" s="200"/>
      <c r="AO35" s="200"/>
    </row>
    <row r="36" spans="12:41" x14ac:dyDescent="0.35">
      <c r="L36" s="217"/>
      <c r="M36" s="217"/>
      <c r="N36" s="217"/>
      <c r="O36" s="217"/>
      <c r="P36" s="217"/>
      <c r="Q36" s="217"/>
      <c r="R36" s="217"/>
      <c r="S36" s="217"/>
      <c r="T36" s="217"/>
      <c r="U36" s="200"/>
      <c r="V36" s="200"/>
      <c r="W36" s="200"/>
      <c r="X36" s="200"/>
      <c r="Y36" s="200"/>
      <c r="Z36" s="200"/>
      <c r="AA36" s="200"/>
      <c r="AB36" s="200"/>
      <c r="AC36" s="200"/>
      <c r="AD36" s="153"/>
      <c r="AE36" s="153"/>
      <c r="AF36" s="153"/>
      <c r="AG36" s="200"/>
      <c r="AH36" s="200"/>
      <c r="AI36" s="200"/>
      <c r="AJ36" s="200"/>
      <c r="AK36" s="200"/>
      <c r="AL36" s="200"/>
      <c r="AM36" s="200"/>
      <c r="AN36" s="200"/>
      <c r="AO36" s="200"/>
    </row>
    <row r="37" spans="12:41" x14ac:dyDescent="0.35">
      <c r="L37" s="217"/>
      <c r="M37" s="217"/>
      <c r="N37" s="217"/>
      <c r="O37" s="217"/>
      <c r="P37" s="217"/>
      <c r="Q37" s="217"/>
      <c r="R37" s="217"/>
      <c r="S37" s="217"/>
      <c r="T37" s="217"/>
      <c r="U37" s="200"/>
      <c r="V37" s="200"/>
      <c r="W37" s="200"/>
      <c r="X37" s="200"/>
      <c r="Y37" s="200"/>
      <c r="Z37" s="200"/>
      <c r="AA37" s="200"/>
      <c r="AB37" s="200"/>
      <c r="AC37" s="200"/>
      <c r="AD37" s="153"/>
      <c r="AE37" s="153"/>
      <c r="AF37" s="153"/>
      <c r="AG37" s="200"/>
      <c r="AH37" s="200"/>
      <c r="AI37" s="200"/>
      <c r="AJ37" s="200"/>
      <c r="AK37" s="200"/>
      <c r="AL37" s="200"/>
      <c r="AM37" s="200"/>
      <c r="AN37" s="200"/>
      <c r="AO37" s="200"/>
    </row>
    <row r="38" spans="12:41" x14ac:dyDescent="0.35">
      <c r="L38" s="217"/>
      <c r="M38" s="217"/>
      <c r="N38" s="217"/>
      <c r="O38" s="217"/>
      <c r="P38" s="217"/>
      <c r="Q38" s="217"/>
      <c r="R38" s="217"/>
      <c r="S38" s="217"/>
      <c r="T38" s="217"/>
      <c r="U38" s="200"/>
      <c r="V38" s="200"/>
      <c r="W38" s="200"/>
      <c r="X38" s="200"/>
      <c r="Y38" s="200"/>
      <c r="Z38" s="200"/>
      <c r="AA38" s="200"/>
      <c r="AB38" s="200"/>
      <c r="AC38" s="200"/>
      <c r="AD38" s="153"/>
      <c r="AE38" s="153"/>
      <c r="AF38" s="153"/>
      <c r="AG38" s="200"/>
      <c r="AH38" s="200"/>
      <c r="AI38" s="200"/>
      <c r="AJ38" s="200"/>
      <c r="AK38" s="200"/>
      <c r="AL38" s="200"/>
      <c r="AM38" s="200"/>
      <c r="AN38" s="200"/>
      <c r="AO38" s="200"/>
    </row>
    <row r="39" spans="12:41" x14ac:dyDescent="0.35">
      <c r="L39" s="217"/>
      <c r="M39" s="217"/>
      <c r="N39" s="217"/>
      <c r="O39" s="217"/>
      <c r="P39" s="217"/>
      <c r="Q39" s="217"/>
      <c r="R39" s="217"/>
      <c r="S39" s="217"/>
      <c r="T39" s="217"/>
      <c r="U39" s="200"/>
      <c r="V39" s="200"/>
      <c r="W39" s="200"/>
      <c r="X39" s="200"/>
      <c r="Y39" s="200"/>
      <c r="Z39" s="200"/>
      <c r="AA39" s="200"/>
      <c r="AB39" s="200"/>
      <c r="AC39" s="200"/>
      <c r="AD39" s="153"/>
      <c r="AE39" s="153"/>
      <c r="AF39" s="153"/>
      <c r="AG39" s="200"/>
      <c r="AH39" s="200"/>
      <c r="AI39" s="200"/>
      <c r="AJ39" s="200"/>
      <c r="AK39" s="200"/>
      <c r="AL39" s="200"/>
      <c r="AM39" s="200"/>
      <c r="AN39" s="200"/>
      <c r="AO39" s="200"/>
    </row>
    <row r="40" spans="12:41" x14ac:dyDescent="0.35">
      <c r="L40" s="217"/>
      <c r="M40" s="217"/>
      <c r="N40" s="217"/>
      <c r="O40" s="217"/>
      <c r="P40" s="217"/>
      <c r="Q40" s="217"/>
      <c r="R40" s="217"/>
      <c r="S40" s="217"/>
      <c r="T40" s="217"/>
      <c r="U40" s="200"/>
      <c r="V40" s="200"/>
      <c r="W40" s="200"/>
      <c r="X40" s="200"/>
      <c r="Y40" s="200"/>
      <c r="Z40" s="200"/>
      <c r="AA40" s="200"/>
      <c r="AB40" s="200"/>
      <c r="AC40" s="200"/>
      <c r="AD40" s="153"/>
      <c r="AE40" s="153"/>
      <c r="AF40" s="153"/>
      <c r="AG40" s="142"/>
      <c r="AH40" s="142"/>
      <c r="AI40" s="142"/>
      <c r="AJ40" s="142"/>
      <c r="AK40" s="142"/>
      <c r="AL40" s="142"/>
    </row>
    <row r="41" spans="12:41" x14ac:dyDescent="0.35">
      <c r="L41" s="217"/>
      <c r="M41" s="217"/>
      <c r="N41" s="217"/>
      <c r="O41" s="217"/>
      <c r="P41" s="217"/>
      <c r="Q41" s="217"/>
      <c r="R41" s="217"/>
      <c r="S41" s="217"/>
      <c r="T41" s="217"/>
      <c r="U41" s="200"/>
      <c r="V41" s="200"/>
      <c r="W41" s="200"/>
      <c r="X41" s="200"/>
      <c r="Y41" s="200"/>
      <c r="Z41" s="200"/>
      <c r="AA41" s="200"/>
      <c r="AB41" s="200"/>
      <c r="AC41" s="200"/>
      <c r="AD41" s="153"/>
      <c r="AE41" s="153"/>
      <c r="AF41" s="153"/>
      <c r="AG41" s="142"/>
      <c r="AH41" s="142"/>
      <c r="AI41" s="142"/>
      <c r="AJ41" s="142"/>
      <c r="AK41" s="142"/>
      <c r="AL41" s="142"/>
    </row>
    <row r="42" spans="12:41" x14ac:dyDescent="0.35">
      <c r="L42" s="217"/>
      <c r="M42" s="217"/>
      <c r="N42" s="217"/>
      <c r="O42" s="217"/>
      <c r="P42" s="217"/>
      <c r="Q42" s="217"/>
      <c r="R42" s="217"/>
      <c r="S42" s="217"/>
      <c r="T42" s="217"/>
      <c r="U42" s="200"/>
      <c r="V42" s="200"/>
      <c r="W42" s="200"/>
      <c r="X42" s="200"/>
      <c r="Y42" s="200"/>
      <c r="Z42" s="200"/>
      <c r="AA42" s="200"/>
      <c r="AB42" s="200"/>
      <c r="AC42" s="200"/>
      <c r="AD42" s="153"/>
      <c r="AE42" s="153"/>
      <c r="AF42" s="153"/>
      <c r="AG42" s="142"/>
      <c r="AH42" s="142"/>
      <c r="AI42" s="142"/>
      <c r="AJ42" s="142"/>
      <c r="AK42" s="142"/>
      <c r="AL42" s="142"/>
    </row>
    <row r="43" spans="12:41" x14ac:dyDescent="0.35">
      <c r="L43" s="217"/>
      <c r="M43" s="217"/>
      <c r="N43" s="217"/>
      <c r="O43" s="217"/>
      <c r="P43" s="217"/>
      <c r="Q43" s="217"/>
      <c r="R43" s="217"/>
      <c r="S43" s="217"/>
      <c r="T43" s="217"/>
      <c r="U43" s="200"/>
      <c r="V43" s="200"/>
      <c r="W43" s="200"/>
      <c r="X43" s="200"/>
      <c r="Y43" s="200"/>
      <c r="Z43" s="200"/>
      <c r="AA43" s="200"/>
      <c r="AB43" s="200"/>
      <c r="AC43" s="200"/>
      <c r="AD43" s="153"/>
      <c r="AE43" s="153"/>
      <c r="AF43" s="153"/>
      <c r="AG43" s="142"/>
      <c r="AH43" s="142"/>
      <c r="AI43" s="142"/>
      <c r="AJ43" s="142"/>
      <c r="AK43" s="142"/>
      <c r="AL43" s="142"/>
    </row>
    <row r="44" spans="12:41" x14ac:dyDescent="0.35">
      <c r="L44" s="217"/>
      <c r="M44" s="217"/>
      <c r="N44" s="217"/>
      <c r="O44" s="217"/>
      <c r="P44" s="217"/>
      <c r="Q44" s="217"/>
      <c r="R44" s="217"/>
      <c r="S44" s="217"/>
      <c r="T44" s="217"/>
      <c r="U44" s="200"/>
      <c r="V44" s="200"/>
      <c r="W44" s="200"/>
      <c r="X44" s="200"/>
      <c r="Y44" s="200"/>
      <c r="Z44" s="200"/>
      <c r="AA44" s="200"/>
      <c r="AB44" s="200"/>
      <c r="AC44" s="200"/>
      <c r="AD44" s="153"/>
      <c r="AE44" s="153"/>
      <c r="AF44" s="153"/>
      <c r="AG44" s="142"/>
      <c r="AH44" s="142"/>
      <c r="AI44" s="142"/>
      <c r="AJ44" s="142"/>
      <c r="AK44" s="142"/>
      <c r="AL44" s="142"/>
    </row>
    <row r="45" spans="12:41" x14ac:dyDescent="0.35">
      <c r="L45" s="217"/>
      <c r="M45" s="217"/>
      <c r="N45" s="217"/>
      <c r="O45" s="217"/>
      <c r="P45" s="217"/>
      <c r="Q45" s="217"/>
      <c r="R45" s="217"/>
      <c r="S45" s="217"/>
      <c r="T45" s="217"/>
      <c r="U45" s="200"/>
      <c r="V45" s="200"/>
      <c r="W45" s="200"/>
      <c r="X45" s="200"/>
      <c r="Y45" s="200"/>
      <c r="Z45" s="200"/>
      <c r="AA45" s="200"/>
      <c r="AB45" s="200"/>
      <c r="AC45" s="200"/>
      <c r="AD45" s="153"/>
      <c r="AE45" s="153"/>
      <c r="AF45" s="153"/>
      <c r="AG45" s="142"/>
      <c r="AH45" s="142"/>
      <c r="AI45" s="142"/>
      <c r="AJ45" s="142"/>
      <c r="AK45" s="142"/>
      <c r="AL45" s="142"/>
    </row>
    <row r="46" spans="12:41" x14ac:dyDescent="0.35">
      <c r="L46" s="217"/>
      <c r="M46" s="217"/>
      <c r="N46" s="217"/>
      <c r="O46" s="217"/>
      <c r="P46" s="217"/>
      <c r="Q46" s="217"/>
      <c r="R46" s="217"/>
      <c r="S46" s="217"/>
      <c r="T46" s="217"/>
      <c r="U46" s="200"/>
      <c r="V46" s="200"/>
      <c r="W46" s="200"/>
      <c r="X46" s="200"/>
      <c r="Y46" s="200"/>
      <c r="Z46" s="200"/>
      <c r="AA46" s="200"/>
      <c r="AB46" s="200"/>
      <c r="AC46" s="200"/>
      <c r="AD46" s="153"/>
      <c r="AE46" s="153"/>
      <c r="AF46" s="153"/>
      <c r="AG46" s="142"/>
      <c r="AH46" s="142"/>
      <c r="AI46" s="142"/>
      <c r="AJ46" s="142"/>
      <c r="AK46" s="142"/>
      <c r="AL46" s="142"/>
    </row>
    <row r="47" spans="12:41" x14ac:dyDescent="0.35">
      <c r="L47" s="217"/>
      <c r="M47" s="217"/>
      <c r="N47" s="217"/>
      <c r="O47" s="217"/>
      <c r="P47" s="217"/>
      <c r="Q47" s="217"/>
      <c r="R47" s="217"/>
      <c r="S47" s="217"/>
      <c r="T47" s="217"/>
      <c r="U47" s="200"/>
      <c r="V47" s="200"/>
      <c r="W47" s="200"/>
      <c r="X47" s="200"/>
      <c r="Y47" s="200"/>
      <c r="Z47" s="200"/>
      <c r="AA47" s="200"/>
      <c r="AB47" s="200"/>
      <c r="AC47" s="200"/>
      <c r="AD47" s="153"/>
      <c r="AE47" s="153"/>
      <c r="AF47" s="153"/>
      <c r="AG47" s="142"/>
      <c r="AH47" s="142"/>
      <c r="AI47" s="142"/>
      <c r="AJ47" s="142"/>
      <c r="AK47" s="142"/>
      <c r="AL47" s="142"/>
    </row>
    <row r="48" spans="12:41" x14ac:dyDescent="0.35">
      <c r="L48" s="149"/>
      <c r="M48" s="149"/>
      <c r="N48" s="149"/>
      <c r="O48" s="149"/>
      <c r="P48" s="149"/>
      <c r="Q48" s="149"/>
      <c r="R48" s="149"/>
      <c r="S48" s="149"/>
      <c r="T48" s="149"/>
      <c r="U48" s="142"/>
      <c r="V48" s="142"/>
      <c r="W48" s="142"/>
      <c r="X48" s="142"/>
      <c r="Y48" s="142"/>
      <c r="Z48" s="142"/>
      <c r="AA48" s="142"/>
      <c r="AB48" s="142"/>
      <c r="AC48" s="142"/>
      <c r="AD48" s="153"/>
      <c r="AE48" s="153"/>
      <c r="AF48" s="153"/>
      <c r="AG48" s="142"/>
      <c r="AH48" s="142"/>
      <c r="AI48" s="142"/>
      <c r="AJ48" s="142"/>
      <c r="AK48" s="142"/>
      <c r="AL48" s="142"/>
    </row>
    <row r="49" spans="12:38" x14ac:dyDescent="0.35">
      <c r="L49" s="149"/>
      <c r="M49" s="149"/>
      <c r="N49" s="149"/>
      <c r="O49" s="149"/>
      <c r="P49" s="149"/>
      <c r="Q49" s="149"/>
      <c r="R49" s="149"/>
      <c r="S49" s="149"/>
      <c r="T49" s="149"/>
      <c r="U49" s="142"/>
      <c r="V49" s="142"/>
      <c r="W49" s="142"/>
      <c r="X49" s="142"/>
      <c r="Y49" s="142"/>
      <c r="Z49" s="142"/>
      <c r="AA49" s="142"/>
      <c r="AB49" s="142"/>
      <c r="AC49" s="142"/>
      <c r="AD49" s="153"/>
      <c r="AE49" s="153"/>
      <c r="AF49" s="153"/>
      <c r="AG49" s="142"/>
      <c r="AH49" s="142"/>
      <c r="AI49" s="142"/>
      <c r="AJ49" s="142"/>
      <c r="AK49" s="142"/>
      <c r="AL49" s="142"/>
    </row>
    <row r="50" spans="12:38" x14ac:dyDescent="0.35">
      <c r="L50" s="142"/>
      <c r="M50" s="142"/>
      <c r="N50" s="142"/>
      <c r="O50" s="142"/>
      <c r="P50" s="142"/>
      <c r="Q50" s="142"/>
      <c r="R50" s="142"/>
      <c r="S50" s="142"/>
      <c r="T50" s="142"/>
    </row>
    <row r="51" spans="12:38" x14ac:dyDescent="0.35">
      <c r="L51" s="142"/>
      <c r="M51" s="142"/>
      <c r="N51" s="142"/>
      <c r="O51" s="142"/>
      <c r="P51" s="142"/>
      <c r="Q51" s="142"/>
      <c r="R51" s="142"/>
      <c r="S51" s="142"/>
      <c r="T51" s="142"/>
    </row>
    <row r="52" spans="12:38" x14ac:dyDescent="0.35">
      <c r="L52" s="142"/>
      <c r="M52" s="142"/>
      <c r="N52" s="142"/>
      <c r="O52" s="142"/>
      <c r="P52" s="142"/>
      <c r="Q52" s="142"/>
      <c r="R52" s="142"/>
      <c r="S52" s="142"/>
      <c r="T52" s="142"/>
    </row>
    <row r="53" spans="12:38" x14ac:dyDescent="0.35">
      <c r="L53" s="142"/>
      <c r="M53" s="142"/>
      <c r="N53" s="142"/>
      <c r="O53" s="142"/>
      <c r="P53" s="142"/>
      <c r="Q53" s="142"/>
      <c r="R53" s="142"/>
      <c r="S53" s="142"/>
      <c r="T53" s="142"/>
    </row>
    <row r="54" spans="12:38" x14ac:dyDescent="0.35">
      <c r="L54" s="142"/>
      <c r="M54" s="142"/>
      <c r="N54" s="142"/>
      <c r="O54" s="142"/>
      <c r="P54" s="142"/>
      <c r="Q54" s="142"/>
      <c r="R54" s="142"/>
      <c r="S54" s="142"/>
      <c r="T54" s="142"/>
    </row>
    <row r="55" spans="12:38" x14ac:dyDescent="0.35">
      <c r="L55" s="142"/>
      <c r="M55" s="142"/>
      <c r="N55" s="142"/>
      <c r="O55" s="142"/>
      <c r="P55" s="142"/>
      <c r="Q55" s="142"/>
      <c r="R55" s="142"/>
      <c r="S55" s="142"/>
      <c r="T55" s="142"/>
    </row>
    <row r="56" spans="12:38" x14ac:dyDescent="0.35">
      <c r="L56" s="142"/>
      <c r="M56" s="142"/>
      <c r="N56" s="142"/>
      <c r="O56" s="142"/>
      <c r="P56" s="142"/>
      <c r="Q56" s="142"/>
      <c r="R56" s="142"/>
      <c r="S56" s="142"/>
      <c r="T56" s="142"/>
    </row>
    <row r="57" spans="12:38" x14ac:dyDescent="0.35">
      <c r="L57" s="142"/>
      <c r="M57" s="142"/>
      <c r="N57" s="142"/>
      <c r="O57" s="142"/>
      <c r="P57" s="142"/>
      <c r="Q57" s="142"/>
      <c r="R57" s="142"/>
      <c r="S57" s="142"/>
      <c r="T57" s="142"/>
    </row>
    <row r="58" spans="12:38" x14ac:dyDescent="0.35">
      <c r="L58" s="142"/>
      <c r="M58" s="142"/>
      <c r="N58" s="142"/>
      <c r="O58" s="142"/>
      <c r="P58" s="142"/>
      <c r="Q58" s="142"/>
      <c r="R58" s="142"/>
      <c r="S58" s="142"/>
      <c r="T58" s="142"/>
    </row>
    <row r="59" spans="12:38" x14ac:dyDescent="0.35">
      <c r="L59" s="142"/>
      <c r="M59" s="142"/>
      <c r="N59" s="142"/>
      <c r="O59" s="142"/>
      <c r="P59" s="142"/>
      <c r="Q59" s="142"/>
      <c r="R59" s="142"/>
      <c r="S59" s="142"/>
      <c r="T59" s="142"/>
    </row>
  </sheetData>
  <mergeCells count="35">
    <mergeCell ref="AG15:AO18"/>
    <mergeCell ref="AG5:AJ6"/>
    <mergeCell ref="AK5:AO6"/>
    <mergeCell ref="AG9:AO13"/>
    <mergeCell ref="B16:J29"/>
    <mergeCell ref="AD5:AD7"/>
    <mergeCell ref="AE5:AE7"/>
    <mergeCell ref="AF5:AF7"/>
    <mergeCell ref="L1:T47"/>
    <mergeCell ref="U1:AC47"/>
    <mergeCell ref="AD1:AF1"/>
    <mergeCell ref="AG21:AO23"/>
    <mergeCell ref="AG25:AO25"/>
    <mergeCell ref="AG26:AO39"/>
    <mergeCell ref="AD8:AD11"/>
    <mergeCell ref="AE8:AE11"/>
    <mergeCell ref="AF8:AF11"/>
    <mergeCell ref="AD12:AD14"/>
    <mergeCell ref="AE12:AE14"/>
    <mergeCell ref="AF12:AF14"/>
    <mergeCell ref="AD22:AE22"/>
    <mergeCell ref="AD15:AD17"/>
    <mergeCell ref="AE15:AE17"/>
    <mergeCell ref="AF15:AF17"/>
    <mergeCell ref="AD18:AF18"/>
    <mergeCell ref="AD19:AD21"/>
    <mergeCell ref="AE19:AE21"/>
    <mergeCell ref="AF19:AF21"/>
    <mergeCell ref="AD28:AE28"/>
    <mergeCell ref="AF29:AF30"/>
    <mergeCell ref="AD31:AF34"/>
    <mergeCell ref="AD24:AF24"/>
    <mergeCell ref="AD25:AD27"/>
    <mergeCell ref="AE25:AE27"/>
    <mergeCell ref="AF25:AF27"/>
  </mergeCells>
  <dataValidations count="2">
    <dataValidation type="list" allowBlank="1" showInputMessage="1" showErrorMessage="1" sqref="AD19" xr:uid="{79409BC6-53ED-4EFA-965C-76E41BCF3C45}">
      <formula1>gestio</formula1>
    </dataValidation>
    <dataValidation type="list" allowBlank="1" showInputMessage="1" showErrorMessage="1" sqref="AD25" xr:uid="{A28BD58B-0513-4D89-816D-A26D93F0567C}">
      <formula1>tramitt</formula1>
    </dataValidation>
  </dataValidations>
  <pageMargins left="0.70866141732283472" right="0.70866141732283472" top="1.1811023622047245"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CDA6B-54B4-438A-A87D-0C7252A34FE9}">
  <dimension ref="A1:C17"/>
  <sheetViews>
    <sheetView workbookViewId="0">
      <selection activeCell="L27" sqref="L27"/>
    </sheetView>
  </sheetViews>
  <sheetFormatPr defaultRowHeight="14.5" x14ac:dyDescent="0.35"/>
  <sheetData>
    <row r="1" spans="1:3" x14ac:dyDescent="0.35">
      <c r="A1">
        <f>IF(HLOOKUP('Taula memòria'!$B$1,'3. Resultats Escenaris'!H1:J2,2,FALSE)&gt;0,5,0)</f>
        <v>5</v>
      </c>
      <c r="B1" t="s">
        <v>151</v>
      </c>
      <c r="C1">
        <f>A1+A2</f>
        <v>6</v>
      </c>
    </row>
    <row r="2" spans="1:3" x14ac:dyDescent="0.35">
      <c r="A2">
        <f>IF('2. Dades econòmiques'!B5&gt;0,1,0)</f>
        <v>1</v>
      </c>
      <c r="B2" t="s">
        <v>152</v>
      </c>
    </row>
    <row r="3" spans="1:3" x14ac:dyDescent="0.35">
      <c r="A3" t="s">
        <v>153</v>
      </c>
    </row>
    <row r="7" spans="1:3" x14ac:dyDescent="0.35">
      <c r="A7" t="s">
        <v>154</v>
      </c>
    </row>
    <row r="8" spans="1:3" ht="35.25" customHeight="1" x14ac:dyDescent="0.35">
      <c r="A8" s="163" t="str">
        <f>CONCATENATE("S'estableix una quantia A no reduïda de ",HLOOKUP('Taula memòria'!B1,'3. Resultats Escenaris'!H1:J13,6,FALSE),"€/kWp.any. Per haver-se establert una quota reduïda per raons socials (Quantia B), el preu públic proposat és de ",HLOOKUP('Taula memòria'!B1,'3. Resultats Escenaris'!H1:J15,4,FALSE),"€/any per KWp, resultat d’aplicar un % de reducció del ", HLOOKUP('Taula memòria'!B1,'3. Resultats Escenaris'!H1:J12,12,FALSE)," %. A aquest import se li afegirà l’IVA vigent en cada moment, actualment fixat en el ",'Taula memòria'!C24,"%, resultant un preu públic de ",'Taula memòria'!B25,"€/any per KWp de la quota A i de ",HLOOKUP('Taula memòria'!B1,'3. Resultats Escenaris'!H1:J4,4,FALSE)*(1+'Taula memòria'!C24/100),"€/kWp.any per a la quota B.")</f>
        <v>S'estableix una quantia A no reduïda de 90€/kWp.any. Per haver-se establert una quota reduïda per raons socials (Quantia B), el preu públic proposat és de 45€/any per KWp, resultat d’aplicar un % de reducció del 50 %. A aquest import se li afegirà l’IVA vigent en cada moment, actualment fixat en el 21%, resultant un preu públic de 108,9€/any per KWp de la quota A i de 54,45€/kWp.any per a la quota B.</v>
      </c>
    </row>
    <row r="9" spans="1:3" x14ac:dyDescent="0.35">
      <c r="A9" s="162"/>
    </row>
    <row r="14" spans="1:3" x14ac:dyDescent="0.35">
      <c r="B14">
        <v>0</v>
      </c>
      <c r="C14" t="str">
        <f>CONCATENATE("Per tant, els ingressos estimats són de ",HLOOKUP('Taula memòria'!B1,'3. Resultats Escenaris'!$G$1:$J$13,7,FALSE),"€ (nombre de  kWp repartits  X preu públic)")</f>
        <v>Per tant, els ingressos estimats són de 6975€ (nombre de  kWp repartits  X preu públic)</v>
      </c>
    </row>
    <row r="15" spans="1:3" x14ac:dyDescent="0.35">
      <c r="B15">
        <v>1</v>
      </c>
      <c r="C15" t="str">
        <f>CONCATENATE("Per tant, els ingressos estimats són de ",HLOOKUP('Taula memòria'!B1,'3. Resultats Escenaris'!$G$1:$J$13,7,FALSE),"€ (nombre de  kWp repartits  X preu públic)a més dels ",HLOOKUP('Taula memòria'!B1,'3. Resultats Escenaris'!$G$1:$J$13,8,FALSE),"€/any que són la part proporcional dels ajuts obtinguts per a executar la instal·lació. El total d'ingressos serà de ",HLOOKUP('Taula memòria'!B1,'3. Resultats Escenaris'!$G$1:$J$13,9,FALSE),"€/any.")</f>
        <v>Per tant, els ingressos estimats són de 6975€ (nombre de  kWp repartits  X preu públic)a més dels 2560€/any que són la part proporcional dels ajuts obtinguts per a executar la instal·lació. El total d'ingressos serà de 9535€/any.</v>
      </c>
    </row>
    <row r="16" spans="1:3" x14ac:dyDescent="0.35">
      <c r="B16">
        <v>5</v>
      </c>
      <c r="C16" s="163" t="str">
        <f>CONCATENATE("L’establiment d’una quota reduïda suposa que els ingressos estimats són de ",HLOOKUP('4. Escull escenari'!D10,'3. Resultats Escenaris'!H1:J9,7,FALSE),"€ (Ingressos estimats= [(Nombre kWp x Preu públic quota A)+(Nombre kWp x Preu públic quota B reduïda)]")</f>
        <v>L’establiment d’una quota reduïda suposa que els ingressos estimats són de 6975€ (Ingressos estimats= [(Nombre kWp x Preu públic quota A)+(Nombre kWp x Preu públic quota B reduïda)]</v>
      </c>
    </row>
    <row r="17" spans="2:3" x14ac:dyDescent="0.35">
      <c r="B17">
        <v>6</v>
      </c>
      <c r="C17" t="str">
        <f>CONCATENATE("L’establiment d’una quota reduïda suposa que els ingressos estimats són de ",HLOOKUP('4. Escull escenari'!D10,'3. Resultats Escenaris'!H1:J9,7,FALSE),"€ (Ingressos estimats= [(Nombre kWp x Preu públic quota A)+(Nombre kWp x Preu públic quota B reduïda)]. A més cal afegir els ingressos dels ajuts obtinguts per executar la instal·lació que són ",HLOOKUP('4. Escull escenari'!D10,'3. Resultats Escenaris'!H1:J8,8,FALSE),"€/any. De manera que els ingressos totals són ",HLOOKUP('4. Escull escenari'!D10,'3. Resultats Escenaris'!H1:J9,9,FALSE),"€/any")</f>
        <v>L’establiment d’una quota reduïda suposa que els ingressos estimats són de 6975€ (Ingressos estimats= [(Nombre kWp x Preu públic quota A)+(Nombre kWp x Preu públic quota B reduïda)]. A més cal afegir els ingressos dels ajuts obtinguts per executar la instal·lació que són 2560€/any. De manera que els ingressos totals són 9535€/any</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c4822fc-b4b9-4f22-acb2-eb3bd80a0817" xsi:nil="true"/>
    <lcf76f155ced4ddcb4097134ff3c332f xmlns="9258ea91-e474-421c-9882-8fd427e7104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2C2467D1E81B9468EB9CF22B909F0B9" ma:contentTypeVersion="17" ma:contentTypeDescription="Crear nuevo documento." ma:contentTypeScope="" ma:versionID="a5e0abc850f8dbaba3e2b3b347c4df3f">
  <xsd:schema xmlns:xsd="http://www.w3.org/2001/XMLSchema" xmlns:xs="http://www.w3.org/2001/XMLSchema" xmlns:p="http://schemas.microsoft.com/office/2006/metadata/properties" xmlns:ns2="9258ea91-e474-421c-9882-8fd427e71040" xmlns:ns3="3c4822fc-b4b9-4f22-acb2-eb3bd80a0817" targetNamespace="http://schemas.microsoft.com/office/2006/metadata/properties" ma:root="true" ma:fieldsID="b37d8a2fa7c22b7b20fec5f0a196ff2e" ns2:_="" ns3:_="">
    <xsd:import namespace="9258ea91-e474-421c-9882-8fd427e71040"/>
    <xsd:import namespace="3c4822fc-b4b9-4f22-acb2-eb3bd80a081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58ea91-e474-421c-9882-8fd427e710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50028fe1-31b5-4904-8097-8e5e2258eb0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c4822fc-b4b9-4f22-acb2-eb3bd80a0817"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bae4c086-9d3d-4391-b666-7d30af676e0a}" ma:internalName="TaxCatchAll" ma:showField="CatchAllData" ma:web="3c4822fc-b4b9-4f22-acb2-eb3bd80a08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DB85DD-754C-436E-8C29-0CB90E354F49}">
  <ds:schemaRefs>
    <ds:schemaRef ds:uri="http://schemas.microsoft.com/office/2006/metadata/properties"/>
    <ds:schemaRef ds:uri="http://schemas.microsoft.com/office/infopath/2007/PartnerControls"/>
    <ds:schemaRef ds:uri="3c4822fc-b4b9-4f22-acb2-eb3bd80a0817"/>
    <ds:schemaRef ds:uri="9258ea91-e474-421c-9882-8fd427e71040"/>
  </ds:schemaRefs>
</ds:datastoreItem>
</file>

<file path=customXml/itemProps2.xml><?xml version="1.0" encoding="utf-8"?>
<ds:datastoreItem xmlns:ds="http://schemas.openxmlformats.org/officeDocument/2006/customXml" ds:itemID="{D9727B55-A01F-4CDA-B556-0D052E109250}">
  <ds:schemaRefs>
    <ds:schemaRef ds:uri="http://schemas.microsoft.com/sharepoint/v3/contenttype/forms"/>
  </ds:schemaRefs>
</ds:datastoreItem>
</file>

<file path=customXml/itemProps3.xml><?xml version="1.0" encoding="utf-8"?>
<ds:datastoreItem xmlns:ds="http://schemas.openxmlformats.org/officeDocument/2006/customXml" ds:itemID="{43D0CFAC-7523-4836-A902-DBB09DF9AC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10</vt:i4>
      </vt:variant>
      <vt:variant>
        <vt:lpstr>Intervals amb nom</vt:lpstr>
      </vt:variant>
      <vt:variant>
        <vt:i4>11</vt:i4>
      </vt:variant>
    </vt:vector>
  </HeadingPairs>
  <TitlesOfParts>
    <vt:vector size="21" baseType="lpstr">
      <vt:lpstr>Portada</vt:lpstr>
      <vt:lpstr>Introducció</vt:lpstr>
      <vt:lpstr>1. Dades instal·lació</vt:lpstr>
      <vt:lpstr>2. Dades econòmiques</vt:lpstr>
      <vt:lpstr>3. Resultats Escenaris</vt:lpstr>
      <vt:lpstr>4. Escull escenari</vt:lpstr>
      <vt:lpstr>Taula memòria</vt:lpstr>
      <vt:lpstr>5. Memòria</vt:lpstr>
      <vt:lpstr>altrenatives vulnerables</vt:lpstr>
      <vt:lpstr>Full4</vt:lpstr>
      <vt:lpstr>'5. Memòria'!Àrea_d'impressió</vt:lpstr>
      <vt:lpstr>codiine</vt:lpstr>
      <vt:lpstr>escenari</vt:lpstr>
      <vt:lpstr>gestio</vt:lpstr>
      <vt:lpstr>gestiot</vt:lpstr>
      <vt:lpstr>municipi</vt:lpstr>
      <vt:lpstr>tramit</vt:lpstr>
      <vt:lpstr>tramita</vt:lpstr>
      <vt:lpstr>tramitaa</vt:lpstr>
      <vt:lpstr>tramitat</vt:lpstr>
      <vt:lpstr>tramitt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MELCION FONTBERNAT, CARME</dc:creator>
  <cp:keywords/>
  <dc:description/>
  <cp:lastModifiedBy>MELCION FONTBERNAT, CARME</cp:lastModifiedBy>
  <cp:revision/>
  <cp:lastPrinted>2026-07-15T08:34:25Z</cp:lastPrinted>
  <dcterms:created xsi:type="dcterms:W3CDTF">2026-05-12T14:44:20Z</dcterms:created>
  <dcterms:modified xsi:type="dcterms:W3CDTF">2026-07-15T09:00:04Z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0x01010082C2467D1E81B9468EB9CF22B909F0B9</vt:lpwstr>
  </property>
  <property fmtid="{D5CDD505-2E9C-101B-9397-08002B2CF9AE}" pid="3" name="MediaServiceImageTags">
    <vt:lpwstr/>
  </property>
</Properties>
</file>